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172.16.20.201\ﾃﾞｰﾀｻｰﾊﾞｰ\税務支援\当会指定現金出納帳や記帳支援用の資料、様式\当会指定現金出納帳\"/>
    </mc:Choice>
  </mc:AlternateContent>
  <xr:revisionPtr revIDLastSave="0" documentId="13_ncr:1_{3093AA48-AD7A-449E-86BD-72912C7D5611}" xr6:coauthVersionLast="47" xr6:coauthVersionMax="47" xr10:uidLastSave="{00000000-0000-0000-0000-000000000000}"/>
  <bookViews>
    <workbookView xWindow="-120" yWindow="-120" windowWidth="20730" windowHeight="11160" tabRatio="861" firstSheet="7" activeTab="18" xr2:uid="{8DA41277-2660-4E11-AB28-E1E9AE645C5E}"/>
  </bookViews>
  <sheets>
    <sheet name="バージョン情報" sheetId="32" r:id="rId1"/>
    <sheet name="ご利用にあたって" sheetId="31" r:id="rId2"/>
    <sheet name="必要経費一覧" sheetId="13" r:id="rId3"/>
    <sheet name="記帳例 (手書き)" sheetId="4" r:id="rId4"/>
    <sheet name="記帳例（エクセル）" sheetId="33" r:id="rId5"/>
    <sheet name="表紙" sheetId="1" r:id="rId6"/>
    <sheet name="1月" sheetId="14" r:id="rId7"/>
    <sheet name="2月" sheetId="15" r:id="rId8"/>
    <sheet name="3月" sheetId="23" r:id="rId9"/>
    <sheet name="4月" sheetId="30" r:id="rId10"/>
    <sheet name="5月" sheetId="29" r:id="rId11"/>
    <sheet name="6月" sheetId="28" r:id="rId12"/>
    <sheet name="7月" sheetId="27" r:id="rId13"/>
    <sheet name="8月" sheetId="26" r:id="rId14"/>
    <sheet name="9月" sheetId="25" r:id="rId15"/>
    <sheet name="10月" sheetId="24" r:id="rId16"/>
    <sheet name="11月" sheetId="22" r:id="rId17"/>
    <sheet name="12月" sheetId="16" r:id="rId18"/>
    <sheet name="年間集計表" sheetId="5" r:id="rId19"/>
    <sheet name="売掛金・未払金・買掛金・償却資産" sheetId="7" r:id="rId20"/>
    <sheet name="たな卸表と家事消費とメモ" sheetId="10" r:id="rId21"/>
  </sheets>
  <definedNames>
    <definedName name="_xlnm.Print_Area" localSheetId="15">'10月'!$A$1:$AC$73</definedName>
    <definedName name="_xlnm.Print_Area" localSheetId="16">'11月'!$A$1:$AC$71</definedName>
    <definedName name="_xlnm.Print_Area" localSheetId="17">'12月'!$A$1:$AC$73</definedName>
    <definedName name="_xlnm.Print_Area" localSheetId="6">'1月'!$A$1:$AC$73</definedName>
    <definedName name="_xlnm.Print_Area" localSheetId="7">'2月'!$A$1:$AC$69</definedName>
    <definedName name="_xlnm.Print_Area" localSheetId="8">'3月'!$A$1:$AC$73</definedName>
    <definedName name="_xlnm.Print_Area" localSheetId="9">'4月'!$A$1:$AC$71</definedName>
    <definedName name="_xlnm.Print_Area" localSheetId="10">'5月'!$A$1:$AC$73</definedName>
    <definedName name="_xlnm.Print_Area" localSheetId="11">'6月'!$A$1:$AC$71</definedName>
    <definedName name="_xlnm.Print_Area" localSheetId="12">'7月'!$A$1:$AC$73</definedName>
    <definedName name="_xlnm.Print_Area" localSheetId="13">'8月'!$A$1:$AC$73</definedName>
    <definedName name="_xlnm.Print_Area" localSheetId="14">'9月'!$A$1:$AC$71</definedName>
    <definedName name="_xlnm.Print_Area" localSheetId="2">必要経費一覧!$A$1:$O$35</definedName>
    <definedName name="_xlnm.Print_Area" localSheetId="5">表紙!$A$1:$Q$13</definedName>
    <definedName name="_xlnm.Print_Titles" localSheetId="15">'10月'!$1:$9</definedName>
    <definedName name="_xlnm.Print_Titles" localSheetId="16">'11月'!$1:$9</definedName>
    <definedName name="_xlnm.Print_Titles" localSheetId="17">'12月'!$1:$9</definedName>
    <definedName name="_xlnm.Print_Titles" localSheetId="6">'1月'!$1:$9</definedName>
    <definedName name="_xlnm.Print_Titles" localSheetId="7">'2月'!$1:$9</definedName>
    <definedName name="_xlnm.Print_Titles" localSheetId="8">'3月'!$1:$9</definedName>
    <definedName name="_xlnm.Print_Titles" localSheetId="9">'4月'!$1:$9</definedName>
    <definedName name="_xlnm.Print_Titles" localSheetId="10">'5月'!$1:$9</definedName>
    <definedName name="_xlnm.Print_Titles" localSheetId="11">'6月'!$1:$9</definedName>
    <definedName name="_xlnm.Print_Titles" localSheetId="12">'7月'!$1:$9</definedName>
    <definedName name="_xlnm.Print_Titles" localSheetId="13">'8月'!$1:$9</definedName>
    <definedName name="_xlnm.Print_Titles" localSheetId="14">'9月'!$1:$9</definedName>
    <definedName name="外注工賃">年間集計表!$B$20</definedName>
    <definedName name="外注工賃・10月">'10月'!$U$72</definedName>
    <definedName name="外注工賃・11月">'11月'!$U$70</definedName>
    <definedName name="外注工賃・12月">'12月'!$U$72</definedName>
    <definedName name="外注工賃・1月">'1月'!$U$72</definedName>
    <definedName name="外注工賃・2月">'2月'!$U$68</definedName>
    <definedName name="外注工賃・3月">'3月'!$U$72</definedName>
    <definedName name="外注工賃・4月">'4月'!$U$70</definedName>
    <definedName name="外注工賃・5月">'5月'!$U$72</definedName>
    <definedName name="外注工賃・6月">'6月'!$U$70</definedName>
    <definedName name="外注工賃・7月">'7月'!$U$72</definedName>
    <definedName name="外注工賃・8月">'8月'!$U$72</definedName>
    <definedName name="外注工賃・9月">'9月'!$U$70</definedName>
    <definedName name="給料賃金">年間集計表!$B$19</definedName>
    <definedName name="給料賃金・10月">'10月'!$T$72</definedName>
    <definedName name="給料賃金・11月">'11月'!$T$70</definedName>
    <definedName name="給料賃金・12月">'12月'!$T$72</definedName>
    <definedName name="給料賃金・1月">'1月'!$T$72</definedName>
    <definedName name="給料賃金・2月">'2月'!$T$68</definedName>
    <definedName name="給料賃金・3月">'3月'!$T$72</definedName>
    <definedName name="給料賃金・4月">'4月'!$T$70</definedName>
    <definedName name="給料賃金・5月">'5月'!$T$72</definedName>
    <definedName name="給料賃金・6月">'6月'!$T$70</definedName>
    <definedName name="給料賃金・7月">'7月'!$T$72</definedName>
    <definedName name="給料賃金・8月">'8月'!$T$72</definedName>
    <definedName name="給料賃金・9月">'9月'!$T$70</definedName>
    <definedName name="空欄1">年間集計表!$B$23</definedName>
    <definedName name="空欄1・10月">'10月'!$X$72</definedName>
    <definedName name="空欄1・11月">'11月'!$X$70</definedName>
    <definedName name="空欄1・12月">'12月'!$X$72</definedName>
    <definedName name="空欄1・1月">'1月'!$X$72</definedName>
    <definedName name="空欄1・2月">'2月'!$X$68</definedName>
    <definedName name="空欄1・3月">'3月'!$X$72</definedName>
    <definedName name="空欄1・4月">'4月'!$X$70</definedName>
    <definedName name="空欄1・5月">'5月'!$X$72</definedName>
    <definedName name="空欄1・6月">'6月'!$X$70</definedName>
    <definedName name="空欄1・7月">'7月'!$X$72</definedName>
    <definedName name="空欄1・8月">'8月'!$X$72</definedName>
    <definedName name="空欄1・9月">'9月'!$X$70</definedName>
    <definedName name="空欄2">年間集計表!$B$24</definedName>
    <definedName name="空欄2・10月">'10月'!$Y$72</definedName>
    <definedName name="空欄2・11月">'11月'!$Y$70</definedName>
    <definedName name="空欄2・12月">'12月'!$Y$72</definedName>
    <definedName name="空欄2・1月">'1月'!$Y$72</definedName>
    <definedName name="空欄2・2月">'2月'!$Y$68</definedName>
    <definedName name="空欄2・3月">'3月'!$Y$72</definedName>
    <definedName name="空欄2・4月">'4月'!$Y$70</definedName>
    <definedName name="空欄2・5月">'5月'!$Y$72</definedName>
    <definedName name="空欄2・6月">'6月'!$Y$70</definedName>
    <definedName name="空欄2・7月">'7月'!$Y$72</definedName>
    <definedName name="空欄2・8月">'8月'!$Y$72</definedName>
    <definedName name="空欄2・9月">'9月'!$Y$70</definedName>
    <definedName name="繰越・10月">'10月'!$AC$70</definedName>
    <definedName name="繰越・11月">'11月'!$AC$68</definedName>
    <definedName name="繰越・12月">'12月'!$AC$70</definedName>
    <definedName name="繰越・1月">'1月'!$AC$70</definedName>
    <definedName name="繰越・2月">'2月'!$AC$66</definedName>
    <definedName name="繰越・3月">'3月'!$AC$70</definedName>
    <definedName name="繰越・4月">'4月'!$AC$68</definedName>
    <definedName name="繰越・5月">'5月'!$AC$70</definedName>
    <definedName name="繰越・6月">'6月'!$AC$68</definedName>
    <definedName name="繰越・7月">'7月'!$AC$70</definedName>
    <definedName name="繰越・8月">'8月'!$AC$70</definedName>
    <definedName name="繰越・9月">'9月'!$AC$68</definedName>
    <definedName name="現金残高・1月">'1月'!$AC$72</definedName>
    <definedName name="広告宣伝費">年間集計表!$B$13</definedName>
    <definedName name="広告宣伝費・10月">'10月'!$N$72</definedName>
    <definedName name="広告宣伝費・11月">'11月'!$N$70</definedName>
    <definedName name="広告宣伝費・12月">'12月'!$N$72</definedName>
    <definedName name="広告宣伝費・1月">'1月'!$N$72</definedName>
    <definedName name="広告宣伝費・2月">'2月'!$N$68</definedName>
    <definedName name="広告宣伝費・3月">'3月'!$N$72</definedName>
    <definedName name="広告宣伝費・4月">'4月'!$N$70</definedName>
    <definedName name="広告宣伝費・5月">'5月'!$N$72</definedName>
    <definedName name="広告宣伝費・6月">'6月'!$N$70</definedName>
    <definedName name="広告宣伝費・7月">'7月'!$N$72</definedName>
    <definedName name="広告宣伝費・8月">'8月'!$N$72</definedName>
    <definedName name="広告宣伝費・9月">'9月'!$N$70</definedName>
    <definedName name="雑収入">年間集計表!$B$7</definedName>
    <definedName name="雑収入・10月">'10月'!$F$72</definedName>
    <definedName name="雑収入・11月">'11月'!$F$70</definedName>
    <definedName name="雑収入・12月">'12月'!$F$72</definedName>
    <definedName name="雑収入・1月">'1月'!$F$72</definedName>
    <definedName name="雑収入・2月">'2月'!$F$68</definedName>
    <definedName name="雑収入・3月">'3月'!$F$72</definedName>
    <definedName name="雑収入・4月">'4月'!$F$70</definedName>
    <definedName name="雑収入・5月">'5月'!$F$72</definedName>
    <definedName name="雑収入・6月">'6月'!$F$70</definedName>
    <definedName name="雑収入・7月">'7月'!$F$72</definedName>
    <definedName name="雑収入・8月">'8月'!$F$72</definedName>
    <definedName name="雑収入・9月">'9月'!$F$70</definedName>
    <definedName name="雑費">年間集計表!$B$26</definedName>
    <definedName name="雑費・10月">'10月'!$Z$72</definedName>
    <definedName name="雑費・11月">'11月'!$Z$70</definedName>
    <definedName name="雑費・12月">'12月'!$Z$72</definedName>
    <definedName name="雑費・1月">'1月'!$Z$72</definedName>
    <definedName name="雑費・2月">'2月'!$Z$68</definedName>
    <definedName name="雑費・3月">'3月'!$Z$72</definedName>
    <definedName name="雑費・4月">'4月'!$Z$70</definedName>
    <definedName name="雑費・5月">'5月'!$Z$72</definedName>
    <definedName name="雑費・6月">'6月'!$Z$70</definedName>
    <definedName name="雑費・7月">'7月'!$Z$72</definedName>
    <definedName name="雑費・8月">'8月'!$Z$72</definedName>
    <definedName name="雑費・9月">'9月'!$Z$70</definedName>
    <definedName name="仕入・10月">'10月'!$I$72</definedName>
    <definedName name="仕入・11月">'11月'!$I$70</definedName>
    <definedName name="仕入・12月">'12月'!$I$72</definedName>
    <definedName name="仕入・1月">'1月'!$I$72</definedName>
    <definedName name="仕入・2月">'2月'!$I$68</definedName>
    <definedName name="仕入・3月">'3月'!$I$72</definedName>
    <definedName name="仕入・4月">'4月'!$I$70</definedName>
    <definedName name="仕入・5月">'5月'!$I$72</definedName>
    <definedName name="仕入・6月">'6月'!$I$70</definedName>
    <definedName name="仕入・7月">'7月'!$I$72</definedName>
    <definedName name="仕入・8月">'8月'!$I$72</definedName>
    <definedName name="仕入・9月">'9月'!$I$70</definedName>
    <definedName name="車両費">年間集計表!$B$22</definedName>
    <definedName name="車両費・10月">'10月'!$W$72</definedName>
    <definedName name="車両費・11月">'11月'!$W$70</definedName>
    <definedName name="車両費・12月">'12月'!$W$72</definedName>
    <definedName name="車両費・1月">'1月'!$W$72</definedName>
    <definedName name="車両費・2月">'2月'!$W$68</definedName>
    <definedName name="車両費・3月">'3月'!$W$72</definedName>
    <definedName name="車両費・4月">'4月'!$W$70</definedName>
    <definedName name="車両費・5月">'5月'!$W$72</definedName>
    <definedName name="車両費・6月">'6月'!$W$70</definedName>
    <definedName name="車両費・7月">'7月'!$W$72</definedName>
    <definedName name="車両費・8月">'8月'!$W$72</definedName>
    <definedName name="車両費・9月">'9月'!$W$70</definedName>
    <definedName name="修繕費">年間集計表!$B$16</definedName>
    <definedName name="修繕費・10月">'10月'!$Q$72</definedName>
    <definedName name="修繕費・11月">'11月'!$Q$70</definedName>
    <definedName name="修繕費・12月">'12月'!$Q$72</definedName>
    <definedName name="修繕費・1月">'1月'!$Q$72</definedName>
    <definedName name="修繕費・2月">'2月'!$Q$68</definedName>
    <definedName name="修繕費・3月">'3月'!$Q$72</definedName>
    <definedName name="修繕費・4月">'4月'!$Q$70</definedName>
    <definedName name="修繕費・5月">'5月'!$Q$72</definedName>
    <definedName name="修繕費・6月">'6月'!$Q$70</definedName>
    <definedName name="修繕費・7月">'7月'!$Q$72</definedName>
    <definedName name="修繕費・8月">'8月'!$Q$72</definedName>
    <definedName name="修繕費・9月">'9月'!$Q$70</definedName>
    <definedName name="消耗品費">年間集計表!$B$17</definedName>
    <definedName name="消耗品費・10月">'10月'!$R$72</definedName>
    <definedName name="消耗品費・11月">'11月'!$R$70</definedName>
    <definedName name="消耗品費・12月">'12月'!$R$72</definedName>
    <definedName name="消耗品費・1月">'1月'!$R$72</definedName>
    <definedName name="消耗品費・2月">'2月'!$R$68</definedName>
    <definedName name="消耗品費・3月">'3月'!$R$72</definedName>
    <definedName name="消耗品費・4月">'4月'!$R$70</definedName>
    <definedName name="消耗品費・5月">'5月'!$R$72</definedName>
    <definedName name="消耗品費・6月">'6月'!$R$70</definedName>
    <definedName name="消耗品費・7月">'7月'!$R$72</definedName>
    <definedName name="消耗品費・8月">'8月'!$R$72</definedName>
    <definedName name="消耗品費・9月">'9月'!$R$70</definedName>
    <definedName name="水道光熱費">年間集計表!$B$10</definedName>
    <definedName name="水道光熱費・10月">'10月'!$K$72</definedName>
    <definedName name="水道光熱費・11月">'11月'!$K$70</definedName>
    <definedName name="水道光熱費・12月">'12月'!$K$72</definedName>
    <definedName name="水道光熱費・1月">'1月'!$K$72</definedName>
    <definedName name="水道光熱費・2月">'2月'!$K$68</definedName>
    <definedName name="水道光熱費・3月">'3月'!$K$72</definedName>
    <definedName name="水道光熱費・4月">'4月'!$K$70</definedName>
    <definedName name="水道光熱費・5月">'5月'!$K$72</definedName>
    <definedName name="水道光熱費・6月">'6月'!$K$70</definedName>
    <definedName name="水道光熱費・7月">'7月'!$K$72</definedName>
    <definedName name="水道光熱費・8月">'8月'!$K$72</definedName>
    <definedName name="水道光熱費・9月">'9月'!$K$70</definedName>
    <definedName name="接待交際費">年間集計表!$B$14</definedName>
    <definedName name="接待交際費・10月">'10月'!$O$72</definedName>
    <definedName name="接待交際費・11月">'11月'!$O$70</definedName>
    <definedName name="接待交際費・12月">'12月'!$O$72</definedName>
    <definedName name="接待交際費・1月">'1月'!$O$72</definedName>
    <definedName name="接待交際費・2月">'2月'!$O$68</definedName>
    <definedName name="接待交際費・3月">'3月'!$O$72</definedName>
    <definedName name="接待交際費・4月">'4月'!$O$70</definedName>
    <definedName name="接待交際費・5月">'5月'!$O$72</definedName>
    <definedName name="接待交際費・6月">'6月'!$O$70</definedName>
    <definedName name="接待交際費・7月">'7月'!$O$72</definedName>
    <definedName name="接待交際費・8月">'8月'!$O$72</definedName>
    <definedName name="接待交際費・9月">'9月'!$O$70</definedName>
    <definedName name="租税公課">年間集計表!$B$9</definedName>
    <definedName name="租税公課・10月">'10月'!$J$72</definedName>
    <definedName name="租税公課・11月">'11月'!$J$70</definedName>
    <definedName name="租税公課・12月">'12月'!$J$72</definedName>
    <definedName name="租税公課・1月">'1月'!$J$72</definedName>
    <definedName name="租税公課・2月">'2月'!$J$68</definedName>
    <definedName name="租税公課・3月">'3月'!$J$72</definedName>
    <definedName name="租税公課・4月">'4月'!$J$70</definedName>
    <definedName name="租税公課・5月">'5月'!$J$72</definedName>
    <definedName name="租税公課・6月">'6月'!$J$70</definedName>
    <definedName name="租税公課・7月">'7月'!$J$72</definedName>
    <definedName name="租税公課・8月">'8月'!$J$72</definedName>
    <definedName name="租税公課・9月">'9月'!$J$70</definedName>
    <definedName name="損害保険料">年間集計表!$B$15</definedName>
    <definedName name="損害保険料・10月">'10月'!$P$72</definedName>
    <definedName name="損害保険料・11月">'11月'!$P$70</definedName>
    <definedName name="損害保険料・12月">'12月'!$P$72</definedName>
    <definedName name="損害保険料・1月">'1月'!$P$72</definedName>
    <definedName name="損害保険料・2月">'2月'!$P$68</definedName>
    <definedName name="損害保険料・3月">'3月'!$P$72</definedName>
    <definedName name="損害保険料・4月">'4月'!$P$70</definedName>
    <definedName name="損害保険料・5月">'5月'!$P$72</definedName>
    <definedName name="損害保険料・6月">'6月'!$P$70</definedName>
    <definedName name="損害保険料・7月">'7月'!$P$72</definedName>
    <definedName name="損害保険料・8月">'8月'!$P$72</definedName>
    <definedName name="損害保険料・9月">'9月'!$P$70</definedName>
    <definedName name="通信費">年間集計表!$B$12</definedName>
    <definedName name="通信費・10月">'10月'!$M$72</definedName>
    <definedName name="通信費・11月">'11月'!$M$70</definedName>
    <definedName name="通信費・12月">'12月'!$M$72</definedName>
    <definedName name="通信費・1月">'1月'!$M$72</definedName>
    <definedName name="通信費・2月">'2月'!$M$68</definedName>
    <definedName name="通信費・3月">'3月'!$M$72</definedName>
    <definedName name="通信費・4月">'4月'!$M$70</definedName>
    <definedName name="通信費・5月">'5月'!$M$72</definedName>
    <definedName name="通信費・6月">'6月'!$M$70</definedName>
    <definedName name="通信費・7月">'7月'!$M$72</definedName>
    <definedName name="通信費・8月">'8月'!$M$72</definedName>
    <definedName name="通信費・9月">'9月'!$M$70</definedName>
    <definedName name="売上">年間集計表!$B$4</definedName>
    <definedName name="売上・10月">'10月'!$E$72</definedName>
    <definedName name="売上・11月">'11月'!$E$70</definedName>
    <definedName name="売上・12月">'12月'!$E$72</definedName>
    <definedName name="売上・1月">'1月'!$E$72</definedName>
    <definedName name="売上・2月">'2月'!$E$68</definedName>
    <definedName name="売上・3月">'3月'!$E$72</definedName>
    <definedName name="売上・4月">'4月'!$E$70</definedName>
    <definedName name="売上・5月">'5月'!$E$72</definedName>
    <definedName name="売上・6月">'6月'!$E$70</definedName>
    <definedName name="売上・7月">'7月'!$E$72</definedName>
    <definedName name="売上・8月">'8月'!$E$72</definedName>
    <definedName name="売上・9月">'9月'!$E$70</definedName>
    <definedName name="福利厚生費">年間集計表!$B$18</definedName>
    <definedName name="福利厚生費・10月">'10月'!$S$72</definedName>
    <definedName name="福利厚生費・11月">'11月'!$S$70</definedName>
    <definedName name="福利厚生費・12月">'12月'!$S$72</definedName>
    <definedName name="福利厚生費・1月">'1月'!$S$72</definedName>
    <definedName name="福利厚生費・2月">'2月'!$S$68</definedName>
    <definedName name="福利厚生費・3月">'3月'!$S$72</definedName>
    <definedName name="福利厚生費・4月">'4月'!$S$70</definedName>
    <definedName name="福利厚生費・5月">'5月'!$S$72</definedName>
    <definedName name="福利厚生費・6月">'6月'!$S$70</definedName>
    <definedName name="福利厚生費・7月">'7月'!$S$72</definedName>
    <definedName name="福利厚生費・8月">'8月'!$S$72</definedName>
    <definedName name="福利厚生費・9月">'9月'!$S$70</definedName>
    <definedName name="利子割引料">年間集計表!$B$21</definedName>
    <definedName name="利子割引料・10月">'10月'!$V$72</definedName>
    <definedName name="利子割引料・11月">'11月'!$V$70</definedName>
    <definedName name="利子割引料・12月">'12月'!$V$72</definedName>
    <definedName name="利子割引料・1月">'1月'!$V$72</definedName>
    <definedName name="利子割引料・2月">'2月'!$V$68</definedName>
    <definedName name="利子割引料・3月">'3月'!$V$72</definedName>
    <definedName name="利子割引料・4月">'4月'!$V$70</definedName>
    <definedName name="利子割引料・5月">'5月'!$V$72</definedName>
    <definedName name="利子割引料・6月">'6月'!$V$70</definedName>
    <definedName name="利子割引料・7月">'7月'!$V$72</definedName>
    <definedName name="利子割引料・8月">'8月'!$V$72</definedName>
    <definedName name="利子割引料・9月">'9月'!$V$70</definedName>
    <definedName name="旅費交通費">年間集計表!$B$11</definedName>
    <definedName name="旅費交通費・10月">'10月'!$L$72</definedName>
    <definedName name="旅費交通費・11月">'11月'!$L$70</definedName>
    <definedName name="旅費交通費・12月">'12月'!$L$72</definedName>
    <definedName name="旅費交通費・1月">'1月'!$L$72</definedName>
    <definedName name="旅費交通費・2月">'2月'!$L$68</definedName>
    <definedName name="旅費交通費・3月">'3月'!$L$72</definedName>
    <definedName name="旅費交通費・4月">'4月'!$L$70</definedName>
    <definedName name="旅費交通費・5月">'5月'!$L$72</definedName>
    <definedName name="旅費交通費・6月">'6月'!$L$70</definedName>
    <definedName name="旅費交通費・7月">'7月'!$L$72</definedName>
    <definedName name="旅費交通費・8月">'8月'!$L$72</definedName>
    <definedName name="旅費交通費・9月">'9月'!$L$70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14" i="5" l="1"/>
  <c r="T4" i="5"/>
  <c r="T8" i="5"/>
  <c r="T10" i="5" s="1"/>
  <c r="T12" i="5"/>
  <c r="T6" i="5"/>
  <c r="E29" i="5"/>
  <c r="F29" i="5"/>
  <c r="G29" i="5"/>
  <c r="H29" i="5"/>
  <c r="I29" i="5"/>
  <c r="J29" i="5"/>
  <c r="K29" i="5"/>
  <c r="L29" i="5"/>
  <c r="M29" i="5"/>
  <c r="N29" i="5"/>
  <c r="O29" i="5"/>
  <c r="D29" i="5"/>
  <c r="F72" i="14"/>
  <c r="C33" i="7"/>
  <c r="C18" i="7"/>
  <c r="J72" i="33"/>
  <c r="AA72" i="33"/>
  <c r="W72" i="33"/>
  <c r="F72" i="33"/>
  <c r="M72" i="33"/>
  <c r="B12" i="33"/>
  <c r="B14" i="33"/>
  <c r="B16" i="33"/>
  <c r="B18" i="33"/>
  <c r="B20" i="33"/>
  <c r="B22" i="33"/>
  <c r="B24" i="33"/>
  <c r="B26" i="33"/>
  <c r="B28" i="33"/>
  <c r="B30" i="33"/>
  <c r="B32" i="33"/>
  <c r="B34" i="33"/>
  <c r="B36" i="33"/>
  <c r="B38" i="33"/>
  <c r="B40" i="33"/>
  <c r="B42" i="33"/>
  <c r="B44" i="33"/>
  <c r="B46" i="33"/>
  <c r="B48" i="33"/>
  <c r="B50" i="33"/>
  <c r="B52" i="33"/>
  <c r="B54" i="33"/>
  <c r="B56" i="33"/>
  <c r="B58" i="33"/>
  <c r="B60" i="33"/>
  <c r="B62" i="33"/>
  <c r="B64" i="33"/>
  <c r="B66" i="33"/>
  <c r="B68" i="33"/>
  <c r="B70" i="33"/>
  <c r="B10" i="33"/>
  <c r="AB72" i="33"/>
  <c r="Z72" i="33"/>
  <c r="Y72" i="33"/>
  <c r="X72" i="33"/>
  <c r="V72" i="33"/>
  <c r="U72" i="33"/>
  <c r="T72" i="33"/>
  <c r="S72" i="33"/>
  <c r="R72" i="33"/>
  <c r="Q72" i="33"/>
  <c r="P72" i="33"/>
  <c r="O72" i="33"/>
  <c r="N72" i="33"/>
  <c r="L72" i="33"/>
  <c r="K72" i="33"/>
  <c r="I72" i="33"/>
  <c r="H72" i="33"/>
  <c r="G72" i="33"/>
  <c r="Z6" i="33"/>
  <c r="W6" i="33"/>
  <c r="U6" i="33"/>
  <c r="T6" i="33"/>
  <c r="R6" i="33"/>
  <c r="Q6" i="33"/>
  <c r="M6" i="33"/>
  <c r="J6" i="33"/>
  <c r="F6" i="33"/>
  <c r="H33" i="7"/>
  <c r="C24" i="7"/>
  <c r="H2" i="1"/>
  <c r="Y26" i="10"/>
  <c r="K26" i="10"/>
  <c r="Y27" i="10" s="1"/>
  <c r="H16" i="7"/>
  <c r="Q27" i="5"/>
  <c r="L21" i="5"/>
  <c r="I12" i="5"/>
  <c r="L68" i="15"/>
  <c r="E11" i="5" s="1"/>
  <c r="I68" i="15"/>
  <c r="E8" i="5" s="1"/>
  <c r="G70" i="22"/>
  <c r="AB70" i="30"/>
  <c r="AA70" i="30"/>
  <c r="Z70" i="30"/>
  <c r="Y70" i="30"/>
  <c r="X70" i="30"/>
  <c r="G24" i="5" s="1"/>
  <c r="W70" i="30"/>
  <c r="V70" i="30"/>
  <c r="U70" i="30"/>
  <c r="G20" i="5" s="1"/>
  <c r="T70" i="30"/>
  <c r="S70" i="30"/>
  <c r="R70" i="30"/>
  <c r="Q70" i="30"/>
  <c r="P70" i="30"/>
  <c r="G16" i="5" s="1"/>
  <c r="O70" i="30"/>
  <c r="N70" i="30"/>
  <c r="G14" i="5" s="1"/>
  <c r="M70" i="30"/>
  <c r="L70" i="30"/>
  <c r="G12" i="5" s="1"/>
  <c r="K70" i="30"/>
  <c r="J70" i="30"/>
  <c r="G10" i="5" s="1"/>
  <c r="I70" i="30"/>
  <c r="G8" i="5" s="1"/>
  <c r="H70" i="30"/>
  <c r="G70" i="30"/>
  <c r="F70" i="30"/>
  <c r="G7" i="5" s="1"/>
  <c r="E70" i="30"/>
  <c r="G4" i="5" s="1"/>
  <c r="Z6" i="30"/>
  <c r="Y6" i="30"/>
  <c r="X6" i="30"/>
  <c r="W6" i="30"/>
  <c r="U6" i="30"/>
  <c r="T6" i="30"/>
  <c r="R6" i="30"/>
  <c r="Q6" i="30"/>
  <c r="M6" i="30"/>
  <c r="J6" i="30"/>
  <c r="F6" i="30"/>
  <c r="AB72" i="29"/>
  <c r="AA72" i="29"/>
  <c r="Z72" i="29"/>
  <c r="H26" i="5" s="1"/>
  <c r="Y72" i="29"/>
  <c r="H24" i="5" s="1"/>
  <c r="X72" i="29"/>
  <c r="H23" i="5" s="1"/>
  <c r="W72" i="29"/>
  <c r="H22" i="5" s="1"/>
  <c r="V72" i="29"/>
  <c r="H21" i="5" s="1"/>
  <c r="U72" i="29"/>
  <c r="H20" i="5" s="1"/>
  <c r="T72" i="29"/>
  <c r="H19" i="5" s="1"/>
  <c r="S72" i="29"/>
  <c r="H18" i="5" s="1"/>
  <c r="R72" i="29"/>
  <c r="H17" i="5" s="1"/>
  <c r="Q72" i="29"/>
  <c r="H16" i="5" s="1"/>
  <c r="P72" i="29"/>
  <c r="H15" i="5" s="1"/>
  <c r="O72" i="29"/>
  <c r="H14" i="5" s="1"/>
  <c r="N72" i="29"/>
  <c r="H13" i="5" s="1"/>
  <c r="M72" i="29"/>
  <c r="H12" i="5" s="1"/>
  <c r="L72" i="29"/>
  <c r="H11" i="5" s="1"/>
  <c r="K72" i="29"/>
  <c r="H10" i="5" s="1"/>
  <c r="J72" i="29"/>
  <c r="H9" i="5" s="1"/>
  <c r="I72" i="29"/>
  <c r="H8" i="5" s="1"/>
  <c r="H72" i="29"/>
  <c r="G72" i="29"/>
  <c r="F72" i="29"/>
  <c r="H7" i="5" s="1"/>
  <c r="E72" i="29"/>
  <c r="H4" i="5" s="1"/>
  <c r="Z6" i="29"/>
  <c r="Y6" i="29"/>
  <c r="X6" i="29"/>
  <c r="W6" i="29"/>
  <c r="U6" i="29"/>
  <c r="T6" i="29"/>
  <c r="R6" i="29"/>
  <c r="Q6" i="29"/>
  <c r="M6" i="29"/>
  <c r="J6" i="29"/>
  <c r="F6" i="29"/>
  <c r="AB70" i="28"/>
  <c r="AA70" i="28"/>
  <c r="Z70" i="28"/>
  <c r="I26" i="5" s="1"/>
  <c r="Y70" i="28"/>
  <c r="I24" i="5" s="1"/>
  <c r="X70" i="28"/>
  <c r="I23" i="5" s="1"/>
  <c r="W70" i="28"/>
  <c r="I22" i="5" s="1"/>
  <c r="V70" i="28"/>
  <c r="I21" i="5" s="1"/>
  <c r="U70" i="28"/>
  <c r="I20" i="5" s="1"/>
  <c r="T70" i="28"/>
  <c r="I19" i="5" s="1"/>
  <c r="S70" i="28"/>
  <c r="I18" i="5" s="1"/>
  <c r="R70" i="28"/>
  <c r="I17" i="5" s="1"/>
  <c r="Q70" i="28"/>
  <c r="I16" i="5" s="1"/>
  <c r="P70" i="28"/>
  <c r="I15" i="5" s="1"/>
  <c r="O70" i="28"/>
  <c r="I14" i="5" s="1"/>
  <c r="N70" i="28"/>
  <c r="I13" i="5" s="1"/>
  <c r="M70" i="28"/>
  <c r="L70" i="28"/>
  <c r="I11" i="5" s="1"/>
  <c r="K70" i="28"/>
  <c r="I10" i="5" s="1"/>
  <c r="J70" i="28"/>
  <c r="I9" i="5" s="1"/>
  <c r="I70" i="28"/>
  <c r="I8" i="5" s="1"/>
  <c r="H70" i="28"/>
  <c r="G70" i="28"/>
  <c r="F70" i="28"/>
  <c r="I7" i="5" s="1"/>
  <c r="E70" i="28"/>
  <c r="I4" i="5" s="1"/>
  <c r="Z6" i="28"/>
  <c r="Y6" i="28"/>
  <c r="X6" i="28"/>
  <c r="W6" i="28"/>
  <c r="U6" i="28"/>
  <c r="T6" i="28"/>
  <c r="R6" i="28"/>
  <c r="Q6" i="28"/>
  <c r="M6" i="28"/>
  <c r="J6" i="28"/>
  <c r="F6" i="28"/>
  <c r="AB72" i="27"/>
  <c r="AA72" i="27"/>
  <c r="Z72" i="27"/>
  <c r="J26" i="5" s="1"/>
  <c r="Y72" i="27"/>
  <c r="J24" i="5" s="1"/>
  <c r="X72" i="27"/>
  <c r="J23" i="5" s="1"/>
  <c r="W72" i="27"/>
  <c r="J22" i="5" s="1"/>
  <c r="V72" i="27"/>
  <c r="J21" i="5" s="1"/>
  <c r="U72" i="27"/>
  <c r="J20" i="5" s="1"/>
  <c r="T72" i="27"/>
  <c r="J19" i="5" s="1"/>
  <c r="S72" i="27"/>
  <c r="J18" i="5" s="1"/>
  <c r="R72" i="27"/>
  <c r="J17" i="5" s="1"/>
  <c r="Q72" i="27"/>
  <c r="J16" i="5" s="1"/>
  <c r="P72" i="27"/>
  <c r="J15" i="5" s="1"/>
  <c r="O72" i="27"/>
  <c r="J14" i="5" s="1"/>
  <c r="N72" i="27"/>
  <c r="J13" i="5" s="1"/>
  <c r="M72" i="27"/>
  <c r="J12" i="5" s="1"/>
  <c r="L72" i="27"/>
  <c r="J11" i="5" s="1"/>
  <c r="K72" i="27"/>
  <c r="J10" i="5" s="1"/>
  <c r="J72" i="27"/>
  <c r="J9" i="5" s="1"/>
  <c r="I72" i="27"/>
  <c r="J8" i="5" s="1"/>
  <c r="H72" i="27"/>
  <c r="G72" i="27"/>
  <c r="F72" i="27"/>
  <c r="J7" i="5" s="1"/>
  <c r="E72" i="27"/>
  <c r="J4" i="5" s="1"/>
  <c r="Z6" i="27"/>
  <c r="Y6" i="27"/>
  <c r="X6" i="27"/>
  <c r="W6" i="27"/>
  <c r="U6" i="27"/>
  <c r="T6" i="27"/>
  <c r="R6" i="27"/>
  <c r="Q6" i="27"/>
  <c r="M6" i="27"/>
  <c r="J6" i="27"/>
  <c r="F6" i="27"/>
  <c r="AB72" i="26"/>
  <c r="AA72" i="26"/>
  <c r="Z72" i="26"/>
  <c r="K26" i="5" s="1"/>
  <c r="Y72" i="26"/>
  <c r="K24" i="5" s="1"/>
  <c r="X72" i="26"/>
  <c r="K23" i="5" s="1"/>
  <c r="W72" i="26"/>
  <c r="K22" i="5" s="1"/>
  <c r="V72" i="26"/>
  <c r="K21" i="5" s="1"/>
  <c r="U72" i="26"/>
  <c r="K20" i="5" s="1"/>
  <c r="T72" i="26"/>
  <c r="K19" i="5" s="1"/>
  <c r="S72" i="26"/>
  <c r="K18" i="5" s="1"/>
  <c r="R72" i="26"/>
  <c r="K17" i="5" s="1"/>
  <c r="Q72" i="26"/>
  <c r="K16" i="5" s="1"/>
  <c r="P72" i="26"/>
  <c r="K15" i="5" s="1"/>
  <c r="O72" i="26"/>
  <c r="K14" i="5" s="1"/>
  <c r="N72" i="26"/>
  <c r="K13" i="5" s="1"/>
  <c r="M72" i="26"/>
  <c r="K12" i="5" s="1"/>
  <c r="L72" i="26"/>
  <c r="K11" i="5" s="1"/>
  <c r="K72" i="26"/>
  <c r="K10" i="5" s="1"/>
  <c r="J72" i="26"/>
  <c r="K9" i="5" s="1"/>
  <c r="I72" i="26"/>
  <c r="K8" i="5" s="1"/>
  <c r="H72" i="26"/>
  <c r="G72" i="26"/>
  <c r="F72" i="26"/>
  <c r="K7" i="5" s="1"/>
  <c r="E72" i="26"/>
  <c r="K4" i="5" s="1"/>
  <c r="Z6" i="26"/>
  <c r="Y6" i="26"/>
  <c r="X6" i="26"/>
  <c r="W6" i="26"/>
  <c r="U6" i="26"/>
  <c r="T6" i="26"/>
  <c r="R6" i="26"/>
  <c r="Q6" i="26"/>
  <c r="M6" i="26"/>
  <c r="J6" i="26"/>
  <c r="F6" i="26"/>
  <c r="AB70" i="25"/>
  <c r="AA70" i="25"/>
  <c r="Z70" i="25"/>
  <c r="L26" i="5" s="1"/>
  <c r="Y70" i="25"/>
  <c r="L24" i="5" s="1"/>
  <c r="X70" i="25"/>
  <c r="L23" i="5" s="1"/>
  <c r="W70" i="25"/>
  <c r="L22" i="5" s="1"/>
  <c r="V70" i="25"/>
  <c r="U70" i="25"/>
  <c r="L20" i="5" s="1"/>
  <c r="T70" i="25"/>
  <c r="L19" i="5" s="1"/>
  <c r="S70" i="25"/>
  <c r="L18" i="5" s="1"/>
  <c r="R70" i="25"/>
  <c r="L17" i="5" s="1"/>
  <c r="Q70" i="25"/>
  <c r="L16" i="5" s="1"/>
  <c r="P70" i="25"/>
  <c r="L15" i="5" s="1"/>
  <c r="O70" i="25"/>
  <c r="L14" i="5" s="1"/>
  <c r="N70" i="25"/>
  <c r="L13" i="5" s="1"/>
  <c r="M70" i="25"/>
  <c r="L12" i="5" s="1"/>
  <c r="L70" i="25"/>
  <c r="L11" i="5" s="1"/>
  <c r="K70" i="25"/>
  <c r="L10" i="5" s="1"/>
  <c r="J70" i="25"/>
  <c r="L9" i="5" s="1"/>
  <c r="I70" i="25"/>
  <c r="L8" i="5" s="1"/>
  <c r="H70" i="25"/>
  <c r="G70" i="25"/>
  <c r="F70" i="25"/>
  <c r="L7" i="5" s="1"/>
  <c r="E70" i="25"/>
  <c r="L4" i="5" s="1"/>
  <c r="Z6" i="25"/>
  <c r="Y6" i="25"/>
  <c r="X6" i="25"/>
  <c r="W6" i="25"/>
  <c r="U6" i="25"/>
  <c r="T6" i="25"/>
  <c r="R6" i="25"/>
  <c r="Q6" i="25"/>
  <c r="M6" i="25"/>
  <c r="J6" i="25"/>
  <c r="F6" i="25"/>
  <c r="AB72" i="24"/>
  <c r="AA72" i="24"/>
  <c r="Z72" i="24"/>
  <c r="M26" i="5" s="1"/>
  <c r="Y72" i="24"/>
  <c r="M24" i="5" s="1"/>
  <c r="X72" i="24"/>
  <c r="M23" i="5" s="1"/>
  <c r="W72" i="24"/>
  <c r="M22" i="5" s="1"/>
  <c r="V72" i="24"/>
  <c r="M21" i="5" s="1"/>
  <c r="U72" i="24"/>
  <c r="M20" i="5" s="1"/>
  <c r="T72" i="24"/>
  <c r="M19" i="5" s="1"/>
  <c r="S72" i="24"/>
  <c r="M18" i="5" s="1"/>
  <c r="R72" i="24"/>
  <c r="M17" i="5" s="1"/>
  <c r="Q72" i="24"/>
  <c r="M16" i="5" s="1"/>
  <c r="P72" i="24"/>
  <c r="M15" i="5" s="1"/>
  <c r="O72" i="24"/>
  <c r="M14" i="5" s="1"/>
  <c r="N72" i="24"/>
  <c r="M13" i="5" s="1"/>
  <c r="M72" i="24"/>
  <c r="M12" i="5" s="1"/>
  <c r="L72" i="24"/>
  <c r="M11" i="5" s="1"/>
  <c r="K72" i="24"/>
  <c r="M10" i="5" s="1"/>
  <c r="J72" i="24"/>
  <c r="M9" i="5" s="1"/>
  <c r="I72" i="24"/>
  <c r="M8" i="5" s="1"/>
  <c r="H72" i="24"/>
  <c r="G72" i="24"/>
  <c r="F72" i="24"/>
  <c r="M7" i="5" s="1"/>
  <c r="E72" i="24"/>
  <c r="M4" i="5" s="1"/>
  <c r="Z6" i="24"/>
  <c r="Y6" i="24"/>
  <c r="X6" i="24"/>
  <c r="W6" i="24"/>
  <c r="U6" i="24"/>
  <c r="T6" i="24"/>
  <c r="R6" i="24"/>
  <c r="Q6" i="24"/>
  <c r="M6" i="24"/>
  <c r="J6" i="24"/>
  <c r="F6" i="24"/>
  <c r="AB72" i="23"/>
  <c r="AA72" i="23"/>
  <c r="Z72" i="23"/>
  <c r="F26" i="5" s="1"/>
  <c r="Y72" i="23"/>
  <c r="F24" i="5" s="1"/>
  <c r="X72" i="23"/>
  <c r="F23" i="5" s="1"/>
  <c r="W72" i="23"/>
  <c r="F22" i="5" s="1"/>
  <c r="V72" i="23"/>
  <c r="F21" i="5" s="1"/>
  <c r="U72" i="23"/>
  <c r="F20" i="5" s="1"/>
  <c r="T72" i="23"/>
  <c r="F19" i="5" s="1"/>
  <c r="S72" i="23"/>
  <c r="F18" i="5" s="1"/>
  <c r="R72" i="23"/>
  <c r="F17" i="5" s="1"/>
  <c r="Q72" i="23"/>
  <c r="F16" i="5" s="1"/>
  <c r="P72" i="23"/>
  <c r="F15" i="5" s="1"/>
  <c r="O72" i="23"/>
  <c r="F14" i="5" s="1"/>
  <c r="N72" i="23"/>
  <c r="F13" i="5" s="1"/>
  <c r="M72" i="23"/>
  <c r="F12" i="5" s="1"/>
  <c r="L72" i="23"/>
  <c r="F11" i="5" s="1"/>
  <c r="K72" i="23"/>
  <c r="F10" i="5" s="1"/>
  <c r="J72" i="23"/>
  <c r="F9" i="5" s="1"/>
  <c r="I72" i="23"/>
  <c r="F8" i="5" s="1"/>
  <c r="H72" i="23"/>
  <c r="G72" i="23"/>
  <c r="F72" i="23"/>
  <c r="F7" i="5" s="1"/>
  <c r="E72" i="23"/>
  <c r="F4" i="5" s="1"/>
  <c r="Z6" i="23"/>
  <c r="Y6" i="23"/>
  <c r="X6" i="23"/>
  <c r="W6" i="23"/>
  <c r="U6" i="23"/>
  <c r="T6" i="23"/>
  <c r="R6" i="23"/>
  <c r="Q6" i="23"/>
  <c r="M6" i="23"/>
  <c r="J6" i="23"/>
  <c r="F6" i="23"/>
  <c r="AB70" i="22"/>
  <c r="AA70" i="22"/>
  <c r="Z70" i="22"/>
  <c r="N26" i="5" s="1"/>
  <c r="Y70" i="22"/>
  <c r="N24" i="5" s="1"/>
  <c r="X70" i="22"/>
  <c r="N23" i="5" s="1"/>
  <c r="W70" i="22"/>
  <c r="N22" i="5" s="1"/>
  <c r="V70" i="22"/>
  <c r="N21" i="5" s="1"/>
  <c r="U70" i="22"/>
  <c r="N20" i="5" s="1"/>
  <c r="T70" i="22"/>
  <c r="N19" i="5" s="1"/>
  <c r="S70" i="22"/>
  <c r="N18" i="5" s="1"/>
  <c r="R70" i="22"/>
  <c r="N17" i="5" s="1"/>
  <c r="Q70" i="22"/>
  <c r="N16" i="5" s="1"/>
  <c r="P70" i="22"/>
  <c r="N15" i="5" s="1"/>
  <c r="O70" i="22"/>
  <c r="N14" i="5" s="1"/>
  <c r="N70" i="22"/>
  <c r="N13" i="5" s="1"/>
  <c r="M70" i="22"/>
  <c r="N12" i="5" s="1"/>
  <c r="L70" i="22"/>
  <c r="N11" i="5" s="1"/>
  <c r="K70" i="22"/>
  <c r="N10" i="5" s="1"/>
  <c r="J70" i="22"/>
  <c r="N9" i="5" s="1"/>
  <c r="I70" i="22"/>
  <c r="N8" i="5" s="1"/>
  <c r="H70" i="22"/>
  <c r="F70" i="22"/>
  <c r="N7" i="5" s="1"/>
  <c r="E70" i="22"/>
  <c r="N4" i="5" s="1"/>
  <c r="Z6" i="22"/>
  <c r="Y6" i="22"/>
  <c r="X6" i="22"/>
  <c r="W6" i="22"/>
  <c r="U6" i="22"/>
  <c r="T6" i="22"/>
  <c r="R6" i="22"/>
  <c r="Q6" i="22"/>
  <c r="M6" i="22"/>
  <c r="J6" i="22"/>
  <c r="F6" i="22"/>
  <c r="AB72" i="16"/>
  <c r="AA72" i="16"/>
  <c r="Z72" i="16"/>
  <c r="O26" i="5" s="1"/>
  <c r="Y72" i="16"/>
  <c r="O24" i="5" s="1"/>
  <c r="X72" i="16"/>
  <c r="O23" i="5" s="1"/>
  <c r="W72" i="16"/>
  <c r="O22" i="5" s="1"/>
  <c r="V72" i="16"/>
  <c r="O21" i="5" s="1"/>
  <c r="U72" i="16"/>
  <c r="O20" i="5" s="1"/>
  <c r="T72" i="16"/>
  <c r="O19" i="5" s="1"/>
  <c r="S72" i="16"/>
  <c r="O18" i="5" s="1"/>
  <c r="R72" i="16"/>
  <c r="O17" i="5" s="1"/>
  <c r="Q72" i="16"/>
  <c r="O16" i="5" s="1"/>
  <c r="P72" i="16"/>
  <c r="O15" i="5" s="1"/>
  <c r="O72" i="16"/>
  <c r="O14" i="5" s="1"/>
  <c r="N72" i="16"/>
  <c r="O13" i="5" s="1"/>
  <c r="M72" i="16"/>
  <c r="O12" i="5" s="1"/>
  <c r="L72" i="16"/>
  <c r="O11" i="5" s="1"/>
  <c r="K72" i="16"/>
  <c r="O10" i="5" s="1"/>
  <c r="J72" i="16"/>
  <c r="O9" i="5" s="1"/>
  <c r="I72" i="16"/>
  <c r="O8" i="5" s="1"/>
  <c r="H72" i="16"/>
  <c r="G72" i="16"/>
  <c r="F72" i="16"/>
  <c r="O7" i="5" s="1"/>
  <c r="E72" i="16"/>
  <c r="O4" i="5" s="1"/>
  <c r="Z6" i="16"/>
  <c r="Y6" i="16"/>
  <c r="X6" i="16"/>
  <c r="W6" i="16"/>
  <c r="U6" i="16"/>
  <c r="T6" i="16"/>
  <c r="R6" i="16"/>
  <c r="Q6" i="16"/>
  <c r="M6" i="16"/>
  <c r="J6" i="16"/>
  <c r="F6" i="16"/>
  <c r="AB68" i="15"/>
  <c r="AA68" i="15"/>
  <c r="Z68" i="15"/>
  <c r="E26" i="5" s="1"/>
  <c r="Y68" i="15"/>
  <c r="E24" i="5" s="1"/>
  <c r="X68" i="15"/>
  <c r="E23" i="5" s="1"/>
  <c r="W68" i="15"/>
  <c r="E22" i="5" s="1"/>
  <c r="V68" i="15"/>
  <c r="E21" i="5" s="1"/>
  <c r="U68" i="15"/>
  <c r="E20" i="5" s="1"/>
  <c r="T68" i="15"/>
  <c r="E19" i="5" s="1"/>
  <c r="S68" i="15"/>
  <c r="E18" i="5" s="1"/>
  <c r="R68" i="15"/>
  <c r="E17" i="5" s="1"/>
  <c r="Q68" i="15"/>
  <c r="E16" i="5" s="1"/>
  <c r="P68" i="15"/>
  <c r="E15" i="5" s="1"/>
  <c r="O68" i="15"/>
  <c r="E14" i="5" s="1"/>
  <c r="N68" i="15"/>
  <c r="E13" i="5" s="1"/>
  <c r="M68" i="15"/>
  <c r="E12" i="5" s="1"/>
  <c r="K68" i="15"/>
  <c r="E10" i="5" s="1"/>
  <c r="J68" i="15"/>
  <c r="E9" i="5" s="1"/>
  <c r="H68" i="15"/>
  <c r="G68" i="15"/>
  <c r="F68" i="15"/>
  <c r="E7" i="5" s="1"/>
  <c r="E68" i="15"/>
  <c r="E4" i="5" s="1"/>
  <c r="Z6" i="15"/>
  <c r="Y6" i="15"/>
  <c r="X6" i="15"/>
  <c r="W6" i="15"/>
  <c r="U6" i="15"/>
  <c r="T6" i="15"/>
  <c r="R6" i="15"/>
  <c r="Q6" i="15"/>
  <c r="M6" i="15"/>
  <c r="J6" i="15"/>
  <c r="F6" i="15"/>
  <c r="G72" i="14"/>
  <c r="T11" i="5" l="1"/>
  <c r="T17" i="5" s="1"/>
  <c r="G18" i="5"/>
  <c r="G22" i="5"/>
  <c r="F27" i="5"/>
  <c r="AC10" i="33"/>
  <c r="AC12" i="33" s="1"/>
  <c r="AC14" i="33" s="1"/>
  <c r="AC16" i="33" s="1"/>
  <c r="AC18" i="33" s="1"/>
  <c r="AC20" i="33" s="1"/>
  <c r="AC22" i="33" s="1"/>
  <c r="AC24" i="33" s="1"/>
  <c r="AC26" i="33" s="1"/>
  <c r="AC28" i="33" s="1"/>
  <c r="AC30" i="33" s="1"/>
  <c r="AC32" i="33" s="1"/>
  <c r="AC34" i="33" s="1"/>
  <c r="AC36" i="33" s="1"/>
  <c r="AC38" i="33" s="1"/>
  <c r="AC40" i="33" s="1"/>
  <c r="AC42" i="33" s="1"/>
  <c r="AC44" i="33" s="1"/>
  <c r="AC46" i="33" s="1"/>
  <c r="AC48" i="33" s="1"/>
  <c r="AC50" i="33" s="1"/>
  <c r="AC52" i="33" s="1"/>
  <c r="AC54" i="33" s="1"/>
  <c r="AC56" i="33" s="1"/>
  <c r="AC58" i="33" s="1"/>
  <c r="AC60" i="33" s="1"/>
  <c r="AC62" i="33" s="1"/>
  <c r="AC64" i="33" s="1"/>
  <c r="AC66" i="33" s="1"/>
  <c r="AC68" i="33" s="1"/>
  <c r="AC70" i="33" s="1"/>
  <c r="E72" i="33"/>
  <c r="M27" i="5"/>
  <c r="E27" i="5"/>
  <c r="O27" i="5"/>
  <c r="N27" i="5"/>
  <c r="L27" i="5"/>
  <c r="K27" i="5"/>
  <c r="J27" i="5"/>
  <c r="I27" i="5"/>
  <c r="H27" i="5"/>
  <c r="G11" i="5"/>
  <c r="G15" i="5"/>
  <c r="G19" i="5"/>
  <c r="G17" i="5"/>
  <c r="G23" i="5"/>
  <c r="G9" i="5"/>
  <c r="G13" i="5"/>
  <c r="G21" i="5"/>
  <c r="G26" i="5"/>
  <c r="P5" i="5"/>
  <c r="R5" i="5" s="1"/>
  <c r="AC10" i="14"/>
  <c r="AC12" i="14" s="1"/>
  <c r="AC14" i="14" s="1"/>
  <c r="AC16" i="14" s="1"/>
  <c r="AC18" i="14" s="1"/>
  <c r="AC20" i="14" s="1"/>
  <c r="AC22" i="14" s="1"/>
  <c r="AC24" i="14" s="1"/>
  <c r="AC26" i="14" s="1"/>
  <c r="AC28" i="14" s="1"/>
  <c r="AC30" i="14" s="1"/>
  <c r="AC32" i="14" s="1"/>
  <c r="AC34" i="14" s="1"/>
  <c r="J72" i="14"/>
  <c r="K72" i="14"/>
  <c r="L72" i="14"/>
  <c r="M72" i="14"/>
  <c r="N72" i="14"/>
  <c r="O72" i="14"/>
  <c r="P72" i="14"/>
  <c r="Q72" i="14"/>
  <c r="R72" i="14"/>
  <c r="S72" i="14"/>
  <c r="T72" i="14"/>
  <c r="U72" i="14"/>
  <c r="V72" i="14"/>
  <c r="W72" i="14"/>
  <c r="X72" i="14"/>
  <c r="Y72" i="14"/>
  <c r="Z72" i="14"/>
  <c r="AA72" i="14"/>
  <c r="I72" i="14"/>
  <c r="D8" i="5" s="1"/>
  <c r="P8" i="5" s="1"/>
  <c r="R8" i="5" s="1"/>
  <c r="E72" i="14"/>
  <c r="H72" i="14"/>
  <c r="AB72" i="14"/>
  <c r="G27" i="5" l="1"/>
  <c r="AC36" i="14"/>
  <c r="AC38" i="14" s="1"/>
  <c r="AC40" i="14" s="1"/>
  <c r="AC42" i="14" s="1"/>
  <c r="AC44" i="14" s="1"/>
  <c r="AC46" i="14" s="1"/>
  <c r="AC48" i="14" s="1"/>
  <c r="AC50" i="14" s="1"/>
  <c r="AC52" i="14" s="1"/>
  <c r="AC54" i="14" s="1"/>
  <c r="AC56" i="14" s="1"/>
  <c r="AC58" i="14" s="1"/>
  <c r="AC60" i="14" s="1"/>
  <c r="AC62" i="14" s="1"/>
  <c r="AC64" i="14" s="1"/>
  <c r="AC66" i="14" s="1"/>
  <c r="AC68" i="14" s="1"/>
  <c r="AC70" i="14" s="1"/>
  <c r="J6" i="14"/>
  <c r="Z6" i="14"/>
  <c r="Y6" i="14"/>
  <c r="X6" i="14"/>
  <c r="W6" i="14"/>
  <c r="U6" i="14"/>
  <c r="T6" i="14"/>
  <c r="R6" i="14"/>
  <c r="Q6" i="14"/>
  <c r="M6" i="14"/>
  <c r="F6" i="14"/>
  <c r="P6" i="5"/>
  <c r="R6" i="5" s="1"/>
  <c r="P25" i="5"/>
  <c r="R25" i="5" s="1"/>
  <c r="AC7" i="15" l="1"/>
  <c r="D23" i="5"/>
  <c r="P23" i="5" s="1"/>
  <c r="R23" i="5" s="1"/>
  <c r="D20" i="5"/>
  <c r="P20" i="5" s="1"/>
  <c r="R20" i="5" s="1"/>
  <c r="D16" i="5"/>
  <c r="P16" i="5" s="1"/>
  <c r="R16" i="5" s="1"/>
  <c r="D12" i="5"/>
  <c r="P12" i="5" s="1"/>
  <c r="R12" i="5" s="1"/>
  <c r="D18" i="5"/>
  <c r="D21" i="5"/>
  <c r="P21" i="5" s="1"/>
  <c r="R21" i="5" s="1"/>
  <c r="D17" i="5"/>
  <c r="P17" i="5" s="1"/>
  <c r="R17" i="5" s="1"/>
  <c r="D13" i="5"/>
  <c r="P13" i="5" s="1"/>
  <c r="R13" i="5" s="1"/>
  <c r="D9" i="5"/>
  <c r="D24" i="5"/>
  <c r="D19" i="5"/>
  <c r="P19" i="5" s="1"/>
  <c r="R19" i="5" s="1"/>
  <c r="D7" i="5"/>
  <c r="P7" i="5" s="1"/>
  <c r="R7" i="5" s="1"/>
  <c r="D22" i="5"/>
  <c r="P22" i="5" s="1"/>
  <c r="R22" i="5" s="1"/>
  <c r="D15" i="5"/>
  <c r="P15" i="5" s="1"/>
  <c r="R15" i="5" s="1"/>
  <c r="D11" i="5"/>
  <c r="P11" i="5" s="1"/>
  <c r="R11" i="5" s="1"/>
  <c r="D14" i="5"/>
  <c r="P14" i="5" s="1"/>
  <c r="R14" i="5" s="1"/>
  <c r="P18" i="5"/>
  <c r="R18" i="5" s="1"/>
  <c r="D10" i="5"/>
  <c r="P10" i="5" s="1"/>
  <c r="R10" i="5" s="1"/>
  <c r="D4" i="5"/>
  <c r="P24" i="5" l="1"/>
  <c r="R24" i="5" s="1"/>
  <c r="P4" i="5"/>
  <c r="P9" i="5"/>
  <c r="R9" i="5" s="1"/>
  <c r="D26" i="5"/>
  <c r="P26" i="5" s="1"/>
  <c r="R26" i="5" s="1"/>
  <c r="D27" i="5" l="1"/>
  <c r="P27" i="5"/>
  <c r="R4" i="5"/>
  <c r="AC10" i="15"/>
  <c r="AC12" i="15" s="1"/>
  <c r="AC14" i="15" s="1"/>
  <c r="AC16" i="15" s="1"/>
  <c r="AC18" i="15" s="1"/>
  <c r="AC20" i="15" s="1"/>
  <c r="AC22" i="15" s="1"/>
  <c r="AC24" i="15" s="1"/>
  <c r="AC26" i="15" s="1"/>
  <c r="AC28" i="15" s="1"/>
  <c r="AC30" i="15" s="1"/>
  <c r="AC32" i="15" s="1"/>
  <c r="AC34" i="15" s="1"/>
  <c r="AC36" i="15" s="1"/>
  <c r="AC38" i="15" s="1"/>
  <c r="AC40" i="15" s="1"/>
  <c r="AC42" i="15" s="1"/>
  <c r="AC44" i="15" s="1"/>
  <c r="AC46" i="15" s="1"/>
  <c r="AC48" i="15" s="1"/>
  <c r="AC50" i="15" s="1"/>
  <c r="AC52" i="15" s="1"/>
  <c r="AC54" i="15" s="1"/>
  <c r="AC56" i="15" s="1"/>
  <c r="AC58" i="15" s="1"/>
  <c r="AC60" i="15" s="1"/>
  <c r="AC62" i="15" s="1"/>
  <c r="AC64" i="15" s="1"/>
  <c r="AC66" i="15" s="1"/>
  <c r="AC7" i="23" s="1"/>
  <c r="AC10" i="23" s="1"/>
  <c r="AC12" i="23" s="1"/>
  <c r="AC14" i="23" s="1"/>
  <c r="AC16" i="23" s="1"/>
  <c r="AC18" i="23" s="1"/>
  <c r="AC20" i="23" s="1"/>
  <c r="AC22" i="23" s="1"/>
  <c r="AC24" i="23" s="1"/>
  <c r="AC26" i="23" s="1"/>
  <c r="AC28" i="23" s="1"/>
  <c r="AC30" i="23" s="1"/>
  <c r="AC32" i="23" s="1"/>
  <c r="AC34" i="23" s="1"/>
  <c r="AC36" i="23" s="1"/>
  <c r="AC38" i="23" s="1"/>
  <c r="AC40" i="23" s="1"/>
  <c r="AC42" i="23" s="1"/>
  <c r="AC44" i="23" s="1"/>
  <c r="AC46" i="23" s="1"/>
  <c r="AC48" i="23" s="1"/>
  <c r="AC50" i="23" s="1"/>
  <c r="AC52" i="23" s="1"/>
  <c r="AC54" i="23" s="1"/>
  <c r="AC56" i="23" s="1"/>
  <c r="AC58" i="23" s="1"/>
  <c r="AC60" i="23" s="1"/>
  <c r="AC62" i="23" s="1"/>
  <c r="AC64" i="23" s="1"/>
  <c r="AC66" i="23" s="1"/>
  <c r="AC68" i="23" s="1"/>
  <c r="AC70" i="23" s="1"/>
  <c r="AC7" i="30" s="1"/>
  <c r="AC10" i="30" s="1"/>
  <c r="AC12" i="30" s="1"/>
  <c r="AC14" i="30" s="1"/>
  <c r="AC16" i="30" s="1"/>
  <c r="AC18" i="30" s="1"/>
  <c r="AC20" i="30" s="1"/>
  <c r="AC22" i="30" s="1"/>
  <c r="AC24" i="30" s="1"/>
  <c r="AC26" i="30" s="1"/>
  <c r="AC28" i="30" s="1"/>
  <c r="AC30" i="30" s="1"/>
  <c r="AC32" i="30" s="1"/>
  <c r="AC34" i="30" s="1"/>
  <c r="AC36" i="30" s="1"/>
  <c r="AC38" i="30" s="1"/>
  <c r="AC40" i="30" s="1"/>
  <c r="AC42" i="30" s="1"/>
  <c r="AC44" i="30" s="1"/>
  <c r="AC46" i="30" s="1"/>
  <c r="AC48" i="30" s="1"/>
  <c r="AC50" i="30" s="1"/>
  <c r="AC52" i="30" s="1"/>
  <c r="AC54" i="30" s="1"/>
  <c r="AC56" i="30" s="1"/>
  <c r="AC58" i="30" s="1"/>
  <c r="AC60" i="30" s="1"/>
  <c r="AC62" i="30" s="1"/>
  <c r="AC64" i="30" s="1"/>
  <c r="AC66" i="30" s="1"/>
  <c r="AC68" i="30" s="1"/>
  <c r="AC7" i="29" s="1"/>
  <c r="AC10" i="29" s="1"/>
  <c r="AC12" i="29" s="1"/>
  <c r="AC14" i="29" s="1"/>
  <c r="AC16" i="29" s="1"/>
  <c r="AC18" i="29" s="1"/>
  <c r="AC20" i="29" s="1"/>
  <c r="AC22" i="29" s="1"/>
  <c r="AC24" i="29" s="1"/>
  <c r="AC26" i="29" s="1"/>
  <c r="AC28" i="29" s="1"/>
  <c r="AC30" i="29" s="1"/>
  <c r="AC32" i="29" s="1"/>
  <c r="AC34" i="29" s="1"/>
  <c r="AC36" i="29" s="1"/>
  <c r="AC38" i="29" s="1"/>
  <c r="AC40" i="29" s="1"/>
  <c r="AC42" i="29" s="1"/>
  <c r="AC44" i="29" s="1"/>
  <c r="AC46" i="29" s="1"/>
  <c r="AC48" i="29" s="1"/>
  <c r="AC50" i="29" s="1"/>
  <c r="AC52" i="29" s="1"/>
  <c r="AC54" i="29" s="1"/>
  <c r="AC56" i="29" s="1"/>
  <c r="AC58" i="29" s="1"/>
  <c r="AC60" i="29" s="1"/>
  <c r="AC62" i="29" s="1"/>
  <c r="AC64" i="29" s="1"/>
  <c r="AC66" i="29" s="1"/>
  <c r="AC68" i="29" s="1"/>
  <c r="AC70" i="29" s="1"/>
  <c r="AC7" i="28" s="1"/>
  <c r="AC10" i="28" s="1"/>
  <c r="AC12" i="28" s="1"/>
  <c r="AC14" i="28" s="1"/>
  <c r="AC16" i="28" s="1"/>
  <c r="AC18" i="28" s="1"/>
  <c r="AC20" i="28" s="1"/>
  <c r="AC22" i="28" s="1"/>
  <c r="AC24" i="28" s="1"/>
  <c r="AC26" i="28" s="1"/>
  <c r="AC28" i="28" s="1"/>
  <c r="AC30" i="28" s="1"/>
  <c r="AC32" i="28" s="1"/>
  <c r="AC34" i="28" s="1"/>
  <c r="AC36" i="28" s="1"/>
  <c r="AC38" i="28" s="1"/>
  <c r="AC40" i="28" s="1"/>
  <c r="AC42" i="28" s="1"/>
  <c r="AC44" i="28" s="1"/>
  <c r="AC46" i="28" s="1"/>
  <c r="AC48" i="28" s="1"/>
  <c r="AC50" i="28" s="1"/>
  <c r="AC52" i="28" s="1"/>
  <c r="AC54" i="28" s="1"/>
  <c r="AC56" i="28" s="1"/>
  <c r="AC58" i="28" s="1"/>
  <c r="AC60" i="28" s="1"/>
  <c r="AC62" i="28" s="1"/>
  <c r="AC64" i="28" s="1"/>
  <c r="AC66" i="28" s="1"/>
  <c r="AC68" i="28" s="1"/>
  <c r="AC7" i="27" s="1"/>
  <c r="AC10" i="27" s="1"/>
  <c r="AC12" i="27" s="1"/>
  <c r="AC14" i="27" s="1"/>
  <c r="AC16" i="27" s="1"/>
  <c r="AC18" i="27" s="1"/>
  <c r="AC20" i="27" s="1"/>
  <c r="AC22" i="27" s="1"/>
  <c r="AC24" i="27" s="1"/>
  <c r="AC26" i="27" s="1"/>
  <c r="AC28" i="27" s="1"/>
  <c r="AC30" i="27" s="1"/>
  <c r="AC32" i="27" s="1"/>
  <c r="AC34" i="27" s="1"/>
  <c r="AC36" i="27" s="1"/>
  <c r="AC38" i="27" s="1"/>
  <c r="AC40" i="27" s="1"/>
  <c r="AC42" i="27" s="1"/>
  <c r="AC44" i="27" s="1"/>
  <c r="AC46" i="27" s="1"/>
  <c r="AC48" i="27" s="1"/>
  <c r="AC50" i="27" s="1"/>
  <c r="AC52" i="27" s="1"/>
  <c r="AC54" i="27" s="1"/>
  <c r="AC56" i="27" s="1"/>
  <c r="AC58" i="27" s="1"/>
  <c r="AC60" i="27" s="1"/>
  <c r="AC62" i="27" s="1"/>
  <c r="AC64" i="27" s="1"/>
  <c r="AC66" i="27" s="1"/>
  <c r="AC68" i="27" s="1"/>
  <c r="AC70" i="27" s="1"/>
  <c r="AC7" i="26" s="1"/>
  <c r="AC10" i="26" s="1"/>
  <c r="AC12" i="26" s="1"/>
  <c r="AC14" i="26" s="1"/>
  <c r="AC16" i="26" s="1"/>
  <c r="AC18" i="26" s="1"/>
  <c r="AC20" i="26" s="1"/>
  <c r="AC22" i="26" s="1"/>
  <c r="AC24" i="26" s="1"/>
  <c r="AC26" i="26" s="1"/>
  <c r="AC28" i="26" s="1"/>
  <c r="AC30" i="26" s="1"/>
  <c r="AC32" i="26" s="1"/>
  <c r="AC34" i="26" s="1"/>
  <c r="AC36" i="26" s="1"/>
  <c r="AC38" i="26" s="1"/>
  <c r="AC40" i="26" s="1"/>
  <c r="AC42" i="26" s="1"/>
  <c r="AC44" i="26" s="1"/>
  <c r="AC46" i="26" s="1"/>
  <c r="AC48" i="26" s="1"/>
  <c r="AC50" i="26" s="1"/>
  <c r="AC52" i="26" s="1"/>
  <c r="AC54" i="26" s="1"/>
  <c r="AC56" i="26" s="1"/>
  <c r="AC58" i="26" s="1"/>
  <c r="AC60" i="26" s="1"/>
  <c r="AC62" i="26" s="1"/>
  <c r="AC64" i="26" s="1"/>
  <c r="AC66" i="26" s="1"/>
  <c r="AC68" i="26" s="1"/>
  <c r="AC70" i="26" s="1"/>
  <c r="AC7" i="25" s="1"/>
  <c r="AC10" i="25" s="1"/>
  <c r="AC12" i="25" s="1"/>
  <c r="AC14" i="25" s="1"/>
  <c r="AC16" i="25" s="1"/>
  <c r="AC18" i="25" s="1"/>
  <c r="AC20" i="25" s="1"/>
  <c r="AC22" i="25" s="1"/>
  <c r="AC24" i="25" s="1"/>
  <c r="AC26" i="25" s="1"/>
  <c r="AC28" i="25" s="1"/>
  <c r="AC30" i="25" s="1"/>
  <c r="AC32" i="25" s="1"/>
  <c r="AC34" i="25" s="1"/>
  <c r="AC36" i="25" s="1"/>
  <c r="AC38" i="25" s="1"/>
  <c r="AC40" i="25" s="1"/>
  <c r="AC42" i="25" s="1"/>
  <c r="AC44" i="25" s="1"/>
  <c r="AC46" i="25" s="1"/>
  <c r="AC48" i="25" s="1"/>
  <c r="AC50" i="25" s="1"/>
  <c r="AC52" i="25" s="1"/>
  <c r="AC54" i="25" s="1"/>
  <c r="AC56" i="25" s="1"/>
  <c r="AC58" i="25" s="1"/>
  <c r="AC60" i="25" s="1"/>
  <c r="AC62" i="25" s="1"/>
  <c r="AC64" i="25" s="1"/>
  <c r="AC66" i="25" s="1"/>
  <c r="AC68" i="25" s="1"/>
  <c r="AC7" i="24" s="1"/>
  <c r="AC10" i="24" s="1"/>
  <c r="AC12" i="24" s="1"/>
  <c r="AC14" i="24" s="1"/>
  <c r="AC16" i="24" s="1"/>
  <c r="AC18" i="24" s="1"/>
  <c r="AC20" i="24" s="1"/>
  <c r="AC22" i="24" s="1"/>
  <c r="AC24" i="24" s="1"/>
  <c r="AC26" i="24" s="1"/>
  <c r="AC28" i="24" s="1"/>
  <c r="AC30" i="24" s="1"/>
  <c r="AC32" i="24" s="1"/>
  <c r="AC34" i="24" s="1"/>
  <c r="AC36" i="24" s="1"/>
  <c r="AC38" i="24" s="1"/>
  <c r="AC40" i="24" s="1"/>
  <c r="AC42" i="24" s="1"/>
  <c r="AC44" i="24" s="1"/>
  <c r="AC46" i="24" s="1"/>
  <c r="AC48" i="24" s="1"/>
  <c r="AC50" i="24" s="1"/>
  <c r="AC52" i="24" s="1"/>
  <c r="AC54" i="24" s="1"/>
  <c r="AC56" i="24" s="1"/>
  <c r="AC58" i="24" s="1"/>
  <c r="AC60" i="24" s="1"/>
  <c r="AC62" i="24" s="1"/>
  <c r="AC64" i="24" s="1"/>
  <c r="AC66" i="24" s="1"/>
  <c r="AC68" i="24" s="1"/>
  <c r="AC70" i="24" s="1"/>
  <c r="AC7" i="22" s="1"/>
  <c r="AC10" i="22" s="1"/>
  <c r="AC12" i="22" s="1"/>
  <c r="AC14" i="22" s="1"/>
  <c r="AC16" i="22" s="1"/>
  <c r="AC18" i="22" s="1"/>
  <c r="AC20" i="22" s="1"/>
  <c r="AC22" i="22" s="1"/>
  <c r="AC24" i="22" s="1"/>
  <c r="AC26" i="22" s="1"/>
  <c r="AC28" i="22" s="1"/>
  <c r="AC30" i="22" s="1"/>
  <c r="AC32" i="22" s="1"/>
  <c r="AC34" i="22" s="1"/>
  <c r="AC36" i="22" s="1"/>
  <c r="AC38" i="22" s="1"/>
  <c r="AC40" i="22" s="1"/>
  <c r="AC42" i="22" s="1"/>
  <c r="AC44" i="22" s="1"/>
  <c r="AC46" i="22" s="1"/>
  <c r="AC48" i="22" s="1"/>
  <c r="AC50" i="22" s="1"/>
  <c r="AC52" i="22" s="1"/>
  <c r="AC54" i="22" s="1"/>
  <c r="AC56" i="22" s="1"/>
  <c r="AC58" i="22" s="1"/>
  <c r="AC60" i="22" s="1"/>
  <c r="AC62" i="22" s="1"/>
  <c r="AC64" i="22" s="1"/>
  <c r="AC66" i="22" s="1"/>
  <c r="AC68" i="22" s="1"/>
  <c r="AC7" i="16" s="1"/>
  <c r="AC10" i="16" s="1"/>
  <c r="AC12" i="16" s="1"/>
  <c r="AC14" i="16" s="1"/>
  <c r="AC16" i="16" s="1"/>
  <c r="AC18" i="16" s="1"/>
  <c r="AC20" i="16" s="1"/>
  <c r="AC22" i="16" s="1"/>
  <c r="AC24" i="16" s="1"/>
  <c r="AC26" i="16" s="1"/>
  <c r="AC28" i="16" s="1"/>
  <c r="AC30" i="16" s="1"/>
  <c r="AC32" i="16" s="1"/>
  <c r="AC34" i="16" s="1"/>
  <c r="AC36" i="16" s="1"/>
  <c r="AC38" i="16" s="1"/>
  <c r="AC40" i="16" s="1"/>
  <c r="AC42" i="16" s="1"/>
  <c r="AC44" i="16" s="1"/>
  <c r="AC46" i="16" s="1"/>
  <c r="AC48" i="16" s="1"/>
  <c r="AC50" i="16" s="1"/>
  <c r="AC52" i="16" s="1"/>
  <c r="AC54" i="16" s="1"/>
  <c r="AC56" i="16" s="1"/>
  <c r="AC58" i="16" s="1"/>
  <c r="AC60" i="16" s="1"/>
  <c r="AC62" i="16" s="1"/>
  <c r="AC64" i="16" s="1"/>
  <c r="AC66" i="16" s="1"/>
  <c r="AC68" i="16" s="1"/>
  <c r="AC70"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矢野 礼美</author>
  </authors>
  <commentList>
    <comment ref="AC7" authorId="0" shapeId="0" xr:uid="{0B13EF7C-0271-4900-977B-392A655D981D}">
      <text>
        <r>
          <rPr>
            <b/>
            <sz val="18"/>
            <color indexed="81"/>
            <rFont val="MS P ゴシック"/>
            <family val="3"/>
            <charset val="128"/>
          </rPr>
          <t>前年の現金出納帳に記入している期末残高を記入します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矢野 礼美</author>
  </authors>
  <commentList>
    <comment ref="H2" authorId="0" shapeId="0" xr:uid="{EC911ED8-0A18-4838-866B-69C82357D688}">
      <text>
        <r>
          <rPr>
            <sz val="9"/>
            <color indexed="81"/>
            <rFont val="MS P ゴシック"/>
            <family val="3"/>
            <charset val="128"/>
          </rPr>
          <t xml:space="preserve">年間集計表シートで入力できます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矢野 礼美</author>
  </authors>
  <commentList>
    <comment ref="AC7" authorId="0" shapeId="0" xr:uid="{C1BA0582-CDDF-4C6F-994A-250CD559A597}">
      <text>
        <r>
          <rPr>
            <b/>
            <sz val="18"/>
            <color indexed="81"/>
            <rFont val="MS P ゴシック"/>
            <family val="3"/>
            <charset val="128"/>
          </rPr>
          <t>前年の現金出納帳に記入している期末残高を記入します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矢野 礼美</author>
  </authors>
  <commentList>
    <comment ref="F1" authorId="0" shapeId="0" xr:uid="{C3B3BD12-FC61-4A26-BEC3-4D2672B95B8B}">
      <text>
        <r>
          <rPr>
            <b/>
            <sz val="14"/>
            <color indexed="81"/>
            <rFont val="MS P ゴシック"/>
            <family val="3"/>
            <charset val="128"/>
          </rPr>
          <t>表紙シートにも反映します</t>
        </r>
      </text>
    </comment>
    <comment ref="S15" authorId="0" shapeId="0" xr:uid="{D123F5CA-F435-40B2-B39B-28A2DD9F1F41}">
      <text>
        <r>
          <rPr>
            <b/>
            <sz val="9"/>
            <color indexed="81"/>
            <rFont val="MS P ゴシック"/>
            <family val="3"/>
            <charset val="128"/>
          </rPr>
          <t>自動ではありません。</t>
        </r>
      </text>
    </comment>
  </commentList>
</comments>
</file>

<file path=xl/sharedStrings.xml><?xml version="1.0" encoding="utf-8"?>
<sst xmlns="http://schemas.openxmlformats.org/spreadsheetml/2006/main" count="1658" uniqueCount="390">
  <si>
    <t>氏名</t>
    <rPh sb="0" eb="2">
      <t>シメイ</t>
    </rPh>
    <phoneticPr fontId="1"/>
  </si>
  <si>
    <t>業種</t>
    <rPh sb="0" eb="2">
      <t>ギョウシュ</t>
    </rPh>
    <phoneticPr fontId="1"/>
  </si>
  <si>
    <t>住所　</t>
    <rPh sb="0" eb="2">
      <t>ジュウショ</t>
    </rPh>
    <phoneticPr fontId="1"/>
  </si>
  <si>
    <t>TEL</t>
    <phoneticPr fontId="1"/>
  </si>
  <si>
    <t>FAX</t>
    <phoneticPr fontId="1"/>
  </si>
  <si>
    <t>租税公課</t>
    <rPh sb="0" eb="2">
      <t>ソゼイ</t>
    </rPh>
    <rPh sb="2" eb="4">
      <t>コウカ</t>
    </rPh>
    <phoneticPr fontId="1"/>
  </si>
  <si>
    <t>旅費交通費</t>
    <rPh sb="0" eb="2">
      <t>リョヒ</t>
    </rPh>
    <rPh sb="2" eb="5">
      <t>コウツウヒ</t>
    </rPh>
    <phoneticPr fontId="1"/>
  </si>
  <si>
    <t>通信費</t>
    <rPh sb="0" eb="3">
      <t>ツウシンヒ</t>
    </rPh>
    <phoneticPr fontId="1"/>
  </si>
  <si>
    <t>広告宣伝費</t>
    <rPh sb="0" eb="2">
      <t>コウコク</t>
    </rPh>
    <rPh sb="2" eb="5">
      <t>センデンヒ</t>
    </rPh>
    <phoneticPr fontId="1"/>
  </si>
  <si>
    <t>接待交際費</t>
    <rPh sb="0" eb="2">
      <t>セッタイ</t>
    </rPh>
    <rPh sb="2" eb="5">
      <t>コウサイヒ</t>
    </rPh>
    <phoneticPr fontId="1"/>
  </si>
  <si>
    <t>損害保険料</t>
    <rPh sb="0" eb="2">
      <t>ソンガイ</t>
    </rPh>
    <rPh sb="2" eb="4">
      <t>ホケン</t>
    </rPh>
    <rPh sb="4" eb="5">
      <t>リョウ</t>
    </rPh>
    <phoneticPr fontId="1"/>
  </si>
  <si>
    <t>修繕費</t>
    <rPh sb="0" eb="3">
      <t>シュウゼンヒ</t>
    </rPh>
    <phoneticPr fontId="1"/>
  </si>
  <si>
    <t>消耗品費</t>
    <rPh sb="0" eb="2">
      <t>ショウモウ</t>
    </rPh>
    <rPh sb="2" eb="3">
      <t>ヒン</t>
    </rPh>
    <rPh sb="3" eb="4">
      <t>ヒ</t>
    </rPh>
    <phoneticPr fontId="1"/>
  </si>
  <si>
    <t>福利厚生費</t>
    <rPh sb="0" eb="2">
      <t>フクリ</t>
    </rPh>
    <rPh sb="2" eb="5">
      <t>コウセイヒ</t>
    </rPh>
    <phoneticPr fontId="1"/>
  </si>
  <si>
    <t>給料賃金</t>
    <rPh sb="0" eb="2">
      <t>キュウリョウ</t>
    </rPh>
    <rPh sb="2" eb="4">
      <t>チンギン</t>
    </rPh>
    <phoneticPr fontId="1"/>
  </si>
  <si>
    <t>専従者給料</t>
    <rPh sb="0" eb="3">
      <t>センジュウシャ</t>
    </rPh>
    <rPh sb="3" eb="5">
      <t>キュウリョウ</t>
    </rPh>
    <phoneticPr fontId="1"/>
  </si>
  <si>
    <t>利子割引料</t>
    <rPh sb="0" eb="2">
      <t>リシ</t>
    </rPh>
    <rPh sb="2" eb="5">
      <t>ワリビキリョウ</t>
    </rPh>
    <phoneticPr fontId="1"/>
  </si>
  <si>
    <t>地代家賃</t>
    <rPh sb="0" eb="4">
      <t>チダイヤチン</t>
    </rPh>
    <phoneticPr fontId="1"/>
  </si>
  <si>
    <t>外注工賃</t>
    <rPh sb="0" eb="2">
      <t>ガイチュウ</t>
    </rPh>
    <rPh sb="2" eb="4">
      <t>コウチン</t>
    </rPh>
    <phoneticPr fontId="1"/>
  </si>
  <si>
    <t>リース料</t>
    <rPh sb="3" eb="4">
      <t>リョウ</t>
    </rPh>
    <phoneticPr fontId="1"/>
  </si>
  <si>
    <t>雑費</t>
    <rPh sb="0" eb="2">
      <t>ザッピ</t>
    </rPh>
    <phoneticPr fontId="1"/>
  </si>
  <si>
    <t>ローン支払い分はのぞきます。</t>
    <rPh sb="3" eb="5">
      <t>シハラ</t>
    </rPh>
    <rPh sb="6" eb="7">
      <t>ブン</t>
    </rPh>
    <phoneticPr fontId="1"/>
  </si>
  <si>
    <t>摘要</t>
    <rPh sb="0" eb="2">
      <t>テキヨウ</t>
    </rPh>
    <phoneticPr fontId="1"/>
  </si>
  <si>
    <t>専従者給与はのぞきます。</t>
    <rPh sb="0" eb="3">
      <t>センジュウシャ</t>
    </rPh>
    <rPh sb="3" eb="5">
      <t>キュウヨ</t>
    </rPh>
    <phoneticPr fontId="1"/>
  </si>
  <si>
    <t>日</t>
    <rPh sb="0" eb="1">
      <t>ヒ</t>
    </rPh>
    <phoneticPr fontId="1"/>
  </si>
  <si>
    <t>雑費</t>
    <rPh sb="0" eb="2">
      <t>ザッピ</t>
    </rPh>
    <phoneticPr fontId="1"/>
  </si>
  <si>
    <t>現金売上</t>
    <rPh sb="0" eb="4">
      <t>ゲンキンウリアゲ</t>
    </rPh>
    <phoneticPr fontId="1"/>
  </si>
  <si>
    <t>預金引出</t>
    <rPh sb="0" eb="2">
      <t>ヨキン</t>
    </rPh>
    <rPh sb="2" eb="4">
      <t>ヒキダ</t>
    </rPh>
    <phoneticPr fontId="1"/>
  </si>
  <si>
    <t>現金仕入</t>
    <rPh sb="0" eb="2">
      <t>ゲンキン</t>
    </rPh>
    <rPh sb="2" eb="4">
      <t>シイ</t>
    </rPh>
    <phoneticPr fontId="1"/>
  </si>
  <si>
    <t>水道</t>
    <rPh sb="0" eb="2">
      <t>スイドウ</t>
    </rPh>
    <phoneticPr fontId="1"/>
  </si>
  <si>
    <t>旅費</t>
    <rPh sb="0" eb="2">
      <t>リョヒ</t>
    </rPh>
    <phoneticPr fontId="1"/>
  </si>
  <si>
    <t>広告</t>
    <rPh sb="0" eb="2">
      <t>コウコク</t>
    </rPh>
    <phoneticPr fontId="1"/>
  </si>
  <si>
    <t>接待</t>
    <rPh sb="0" eb="2">
      <t>セッタイ</t>
    </rPh>
    <phoneticPr fontId="1"/>
  </si>
  <si>
    <t>損害</t>
    <rPh sb="0" eb="2">
      <t>ソンガイ</t>
    </rPh>
    <phoneticPr fontId="1"/>
  </si>
  <si>
    <t>福利</t>
    <rPh sb="0" eb="2">
      <t>フクリ</t>
    </rPh>
    <phoneticPr fontId="1"/>
  </si>
  <si>
    <t>利子</t>
    <rPh sb="0" eb="2">
      <t>リシ</t>
    </rPh>
    <phoneticPr fontId="1"/>
  </si>
  <si>
    <t>売掛金入金</t>
    <rPh sb="0" eb="2">
      <t>ウリカケ</t>
    </rPh>
    <rPh sb="2" eb="3">
      <t>キン</t>
    </rPh>
    <rPh sb="3" eb="5">
      <t>ニュウキン</t>
    </rPh>
    <phoneticPr fontId="1"/>
  </si>
  <si>
    <t>その他入金</t>
    <rPh sb="2" eb="3">
      <t>ホカ</t>
    </rPh>
    <rPh sb="3" eb="5">
      <t>ニュウキン</t>
    </rPh>
    <phoneticPr fontId="1"/>
  </si>
  <si>
    <t>買掛金</t>
    <rPh sb="0" eb="3">
      <t>カイカケキン</t>
    </rPh>
    <phoneticPr fontId="1"/>
  </si>
  <si>
    <t>光熱費</t>
    <rPh sb="0" eb="3">
      <t>コウネツヒ</t>
    </rPh>
    <phoneticPr fontId="1"/>
  </si>
  <si>
    <t>交通費</t>
    <rPh sb="0" eb="3">
      <t>コウツウヒ</t>
    </rPh>
    <phoneticPr fontId="1"/>
  </si>
  <si>
    <t>通信費</t>
    <rPh sb="0" eb="3">
      <t>ツウシンヒ</t>
    </rPh>
    <phoneticPr fontId="1"/>
  </si>
  <si>
    <t>宣伝費</t>
    <rPh sb="0" eb="3">
      <t>センデンヒ</t>
    </rPh>
    <phoneticPr fontId="1"/>
  </si>
  <si>
    <t>交際費</t>
    <rPh sb="0" eb="3">
      <t>コウサイヒ</t>
    </rPh>
    <phoneticPr fontId="1"/>
  </si>
  <si>
    <t>保険料</t>
    <rPh sb="0" eb="3">
      <t>ホケンリョウ</t>
    </rPh>
    <phoneticPr fontId="1"/>
  </si>
  <si>
    <t>厚生費</t>
    <rPh sb="0" eb="3">
      <t>コウセイヒ</t>
    </rPh>
    <phoneticPr fontId="1"/>
  </si>
  <si>
    <t>割引料</t>
    <rPh sb="0" eb="2">
      <t>ワリビキ</t>
    </rPh>
    <rPh sb="2" eb="3">
      <t>リョウ</t>
    </rPh>
    <phoneticPr fontId="1"/>
  </si>
  <si>
    <t>月　分　　</t>
    <rPh sb="0" eb="1">
      <t>ガツ</t>
    </rPh>
    <rPh sb="2" eb="3">
      <t>ブン</t>
    </rPh>
    <phoneticPr fontId="1"/>
  </si>
  <si>
    <t>雑収入</t>
    <rPh sb="0" eb="3">
      <t>ザツシュウニュウ</t>
    </rPh>
    <phoneticPr fontId="1"/>
  </si>
  <si>
    <t>現金残高①-②</t>
    <rPh sb="0" eb="2">
      <t>ゲンキン</t>
    </rPh>
    <rPh sb="2" eb="4">
      <t>ザンダカ</t>
    </rPh>
    <phoneticPr fontId="1"/>
  </si>
  <si>
    <t>支払</t>
    <rPh sb="0" eb="2">
      <t>シハライ</t>
    </rPh>
    <phoneticPr fontId="1"/>
  </si>
  <si>
    <t>摘　　　　　　要</t>
    <rPh sb="0" eb="1">
      <t>テキ</t>
    </rPh>
    <rPh sb="7" eb="8">
      <t>ヨウ</t>
    </rPh>
    <phoneticPr fontId="1"/>
  </si>
  <si>
    <t>合　　　　　　計</t>
    <rPh sb="0" eb="1">
      <t>ゴウ</t>
    </rPh>
    <rPh sb="7" eb="8">
      <t>ケイ</t>
    </rPh>
    <phoneticPr fontId="1"/>
  </si>
  <si>
    <t>000</t>
    <phoneticPr fontId="1"/>
  </si>
  <si>
    <t>120</t>
    <phoneticPr fontId="1"/>
  </si>
  <si>
    <t>500</t>
    <phoneticPr fontId="1"/>
  </si>
  <si>
    <t>1</t>
    <phoneticPr fontId="1"/>
  </si>
  <si>
    <t>300</t>
    <phoneticPr fontId="1"/>
  </si>
  <si>
    <t>10</t>
    <phoneticPr fontId="1"/>
  </si>
  <si>
    <t>30</t>
    <phoneticPr fontId="1"/>
  </si>
  <si>
    <t>(40</t>
    <phoneticPr fontId="1"/>
  </si>
  <si>
    <t>500)</t>
    <phoneticPr fontId="1"/>
  </si>
  <si>
    <t>15</t>
    <phoneticPr fontId="1"/>
  </si>
  <si>
    <t>2</t>
    <phoneticPr fontId="1"/>
  </si>
  <si>
    <t>100</t>
    <phoneticPr fontId="1"/>
  </si>
  <si>
    <t>(50</t>
    <phoneticPr fontId="1"/>
  </si>
  <si>
    <t>000)</t>
    <phoneticPr fontId="1"/>
  </si>
  <si>
    <t>(200</t>
    <phoneticPr fontId="1"/>
  </si>
  <si>
    <t>3</t>
    <phoneticPr fontId="1"/>
  </si>
  <si>
    <t>(5</t>
    <phoneticPr fontId="1"/>
  </si>
  <si>
    <t>400)</t>
    <phoneticPr fontId="1"/>
  </si>
  <si>
    <t>600)</t>
    <phoneticPr fontId="1"/>
  </si>
  <si>
    <t>100)</t>
    <phoneticPr fontId="1"/>
  </si>
  <si>
    <t>25</t>
    <phoneticPr fontId="1"/>
  </si>
  <si>
    <t>35</t>
    <phoneticPr fontId="1"/>
  </si>
  <si>
    <t>13</t>
    <phoneticPr fontId="1"/>
  </si>
  <si>
    <t>400</t>
    <phoneticPr fontId="1"/>
  </si>
  <si>
    <t>27</t>
    <phoneticPr fontId="1"/>
  </si>
  <si>
    <t>5</t>
    <phoneticPr fontId="1"/>
  </si>
  <si>
    <t>53</t>
    <phoneticPr fontId="1"/>
  </si>
  <si>
    <t>150</t>
    <phoneticPr fontId="1"/>
  </si>
  <si>
    <t>252</t>
    <phoneticPr fontId="1"/>
  </si>
  <si>
    <t>371</t>
    <phoneticPr fontId="1"/>
  </si>
  <si>
    <t>341</t>
    <phoneticPr fontId="1"/>
  </si>
  <si>
    <t>331</t>
    <phoneticPr fontId="1"/>
  </si>
  <si>
    <t>330</t>
    <phoneticPr fontId="1"/>
  </si>
  <si>
    <t>329</t>
    <phoneticPr fontId="1"/>
  </si>
  <si>
    <t>326</t>
    <phoneticPr fontId="1"/>
  </si>
  <si>
    <t>324</t>
    <phoneticPr fontId="1"/>
  </si>
  <si>
    <t>200</t>
    <phoneticPr fontId="1"/>
  </si>
  <si>
    <t>700</t>
    <phoneticPr fontId="1"/>
  </si>
  <si>
    <t>800</t>
    <phoneticPr fontId="1"/>
  </si>
  <si>
    <t>バス回数券（集金用）</t>
    <rPh sb="2" eb="5">
      <t>カイスウケン</t>
    </rPh>
    <rPh sb="6" eb="9">
      <t>シュウキンヨウ</t>
    </rPh>
    <phoneticPr fontId="1"/>
  </si>
  <si>
    <t>車輛ローン・電話料</t>
    <rPh sb="0" eb="2">
      <t>シャリョウ</t>
    </rPh>
    <rPh sb="6" eb="8">
      <t>デンワ</t>
    </rPh>
    <rPh sb="8" eb="9">
      <t>リョウ</t>
    </rPh>
    <phoneticPr fontId="1"/>
  </si>
  <si>
    <t>220</t>
    <phoneticPr fontId="1"/>
  </si>
  <si>
    <t>403</t>
    <phoneticPr fontId="1"/>
  </si>
  <si>
    <t>仕入</t>
    <rPh sb="0" eb="2">
      <t>シイレ</t>
    </rPh>
    <phoneticPr fontId="1"/>
  </si>
  <si>
    <t>福利厚生費</t>
    <rPh sb="0" eb="5">
      <t>フクリコウセイヒ</t>
    </rPh>
    <phoneticPr fontId="1"/>
  </si>
  <si>
    <t>専従者給与</t>
    <rPh sb="0" eb="3">
      <t>センジュウシャ</t>
    </rPh>
    <rPh sb="3" eb="5">
      <t>キュウヨ</t>
    </rPh>
    <phoneticPr fontId="1"/>
  </si>
  <si>
    <t>科目</t>
    <rPh sb="0" eb="2">
      <t>カモク</t>
    </rPh>
    <phoneticPr fontId="1"/>
  </si>
  <si>
    <t>雑収入</t>
    <rPh sb="0" eb="1">
      <t>ザツ</t>
    </rPh>
    <rPh sb="1" eb="3">
      <t>シュウニュウ</t>
    </rPh>
    <phoneticPr fontId="1"/>
  </si>
  <si>
    <t>水道光熱費</t>
    <rPh sb="0" eb="2">
      <t>スイドウ</t>
    </rPh>
    <rPh sb="2" eb="5">
      <t>コウネツヒ</t>
    </rPh>
    <phoneticPr fontId="1"/>
  </si>
  <si>
    <t>決算合計</t>
    <rPh sb="0" eb="2">
      <t>ケッサン</t>
    </rPh>
    <rPh sb="2" eb="4">
      <t>ゴウケイ</t>
    </rPh>
    <phoneticPr fontId="1"/>
  </si>
  <si>
    <t>年　　間</t>
    <rPh sb="0" eb="1">
      <t>ネン</t>
    </rPh>
    <rPh sb="3" eb="4">
      <t>マ</t>
    </rPh>
    <phoneticPr fontId="1"/>
  </si>
  <si>
    <t>合　　計</t>
    <rPh sb="0" eb="1">
      <t>ゴウ</t>
    </rPh>
    <rPh sb="3" eb="4">
      <t>ケイ</t>
    </rPh>
    <phoneticPr fontId="1"/>
  </si>
  <si>
    <t>現金</t>
    <rPh sb="0" eb="2">
      <t>ゲンキン</t>
    </rPh>
    <phoneticPr fontId="1"/>
  </si>
  <si>
    <t>売掛金（売上未収入金）の内訳書</t>
    <rPh sb="0" eb="2">
      <t>ウリカケ</t>
    </rPh>
    <rPh sb="2" eb="3">
      <t>キン</t>
    </rPh>
    <rPh sb="4" eb="6">
      <t>ウリアゲ</t>
    </rPh>
    <rPh sb="6" eb="10">
      <t>ミシュウニュウキン</t>
    </rPh>
    <rPh sb="12" eb="14">
      <t>ウチワケ</t>
    </rPh>
    <rPh sb="14" eb="15">
      <t>ショ</t>
    </rPh>
    <phoneticPr fontId="1"/>
  </si>
  <si>
    <t>相手先</t>
    <rPh sb="0" eb="2">
      <t>アイテ</t>
    </rPh>
    <rPh sb="2" eb="3">
      <t>サキ</t>
    </rPh>
    <phoneticPr fontId="1"/>
  </si>
  <si>
    <t>所在地</t>
    <rPh sb="0" eb="3">
      <t>ショザイチ</t>
    </rPh>
    <phoneticPr fontId="1"/>
  </si>
  <si>
    <t>期末現在高</t>
    <rPh sb="0" eb="2">
      <t>キマツ</t>
    </rPh>
    <rPh sb="2" eb="4">
      <t>ゲンザイ</t>
    </rPh>
    <rPh sb="4" eb="5">
      <t>ダカ</t>
    </rPh>
    <phoneticPr fontId="1"/>
  </si>
  <si>
    <t>金額</t>
    <rPh sb="0" eb="2">
      <t>キンガク</t>
    </rPh>
    <phoneticPr fontId="1"/>
  </si>
  <si>
    <t>備考</t>
    <rPh sb="0" eb="2">
      <t>ビコウ</t>
    </rPh>
    <phoneticPr fontId="1"/>
  </si>
  <si>
    <r>
      <t>経費の未払金</t>
    </r>
    <r>
      <rPr>
        <sz val="11"/>
        <color theme="1"/>
        <rFont val="游ゴシック"/>
        <family val="3"/>
        <charset val="128"/>
        <scheme val="minor"/>
      </rPr>
      <t>（ガソリン代・修繕費など）</t>
    </r>
    <rPh sb="0" eb="2">
      <t>ケイヒ</t>
    </rPh>
    <rPh sb="3" eb="5">
      <t>ミバライ</t>
    </rPh>
    <rPh sb="5" eb="6">
      <t>キン</t>
    </rPh>
    <rPh sb="11" eb="12">
      <t>ダイ</t>
    </rPh>
    <rPh sb="13" eb="16">
      <t>シュウゼンヒ</t>
    </rPh>
    <phoneticPr fontId="1"/>
  </si>
  <si>
    <t>買掛金（仕入未払金）の内訳書</t>
    <rPh sb="0" eb="3">
      <t>カイカケキン</t>
    </rPh>
    <rPh sb="4" eb="6">
      <t>シイレ</t>
    </rPh>
    <rPh sb="6" eb="8">
      <t>ミバライ</t>
    </rPh>
    <rPh sb="8" eb="9">
      <t>キン</t>
    </rPh>
    <rPh sb="11" eb="13">
      <t>ウチワケ</t>
    </rPh>
    <rPh sb="13" eb="14">
      <t>ショ</t>
    </rPh>
    <phoneticPr fontId="1"/>
  </si>
  <si>
    <t>購入月日</t>
    <rPh sb="0" eb="2">
      <t>コウニュウ</t>
    </rPh>
    <rPh sb="2" eb="4">
      <t>ガッピ</t>
    </rPh>
    <phoneticPr fontId="1"/>
  </si>
  <si>
    <t>品目</t>
    <rPh sb="0" eb="2">
      <t>ヒンモク</t>
    </rPh>
    <phoneticPr fontId="1"/>
  </si>
  <si>
    <t>購入金額</t>
    <rPh sb="0" eb="2">
      <t>コウニュウ</t>
    </rPh>
    <rPh sb="2" eb="4">
      <t>キンガク</t>
    </rPh>
    <phoneticPr fontId="1"/>
  </si>
  <si>
    <t>下取価格</t>
    <rPh sb="0" eb="2">
      <t>シタド</t>
    </rPh>
    <rPh sb="2" eb="4">
      <t>カカク</t>
    </rPh>
    <phoneticPr fontId="1"/>
  </si>
  <si>
    <t>型式</t>
    <rPh sb="0" eb="2">
      <t>カタシキ</t>
    </rPh>
    <phoneticPr fontId="1"/>
  </si>
  <si>
    <t>数量</t>
    <rPh sb="0" eb="2">
      <t>スウリョウ</t>
    </rPh>
    <phoneticPr fontId="1"/>
  </si>
  <si>
    <t>品名</t>
    <rPh sb="0" eb="2">
      <t>ヒンメイ</t>
    </rPh>
    <phoneticPr fontId="1"/>
  </si>
  <si>
    <t>最終仕入単価</t>
    <rPh sb="0" eb="2">
      <t>サイシュウ</t>
    </rPh>
    <rPh sb="2" eb="4">
      <t>シイ</t>
    </rPh>
    <rPh sb="4" eb="6">
      <t>タンカ</t>
    </rPh>
    <phoneticPr fontId="1"/>
  </si>
  <si>
    <t>①小計</t>
    <rPh sb="1" eb="3">
      <t>ショウケイ</t>
    </rPh>
    <phoneticPr fontId="1"/>
  </si>
  <si>
    <t>合計①+②</t>
    <rPh sb="0" eb="2">
      <t>ゴウケイ</t>
    </rPh>
    <phoneticPr fontId="1"/>
  </si>
  <si>
    <t>たな卸表</t>
    <rPh sb="2" eb="3">
      <t>オロシ</t>
    </rPh>
    <rPh sb="3" eb="4">
      <t>ヒョウ</t>
    </rPh>
    <phoneticPr fontId="1"/>
  </si>
  <si>
    <t>②小計</t>
    <rPh sb="1" eb="3">
      <t>ショウケイ</t>
    </rPh>
    <phoneticPr fontId="1"/>
  </si>
  <si>
    <t>筑前町商工会</t>
    <rPh sb="0" eb="3">
      <t>チクゼンマチ</t>
    </rPh>
    <rPh sb="3" eb="5">
      <t>ショウコウ</t>
    </rPh>
    <phoneticPr fontId="1"/>
  </si>
  <si>
    <t>(0946)24-1047</t>
    <phoneticPr fontId="1"/>
  </si>
  <si>
    <t>(0946)22-3724</t>
    <phoneticPr fontId="1"/>
  </si>
  <si>
    <t>現 金 出 納 帳</t>
    <rPh sb="0" eb="1">
      <t>ゲン</t>
    </rPh>
    <rPh sb="2" eb="3">
      <t>キン</t>
    </rPh>
    <rPh sb="4" eb="5">
      <t>デ</t>
    </rPh>
    <rPh sb="6" eb="7">
      <t>オサメ</t>
    </rPh>
    <rPh sb="8" eb="9">
      <t>トバリ</t>
    </rPh>
    <phoneticPr fontId="1"/>
  </si>
  <si>
    <t>勘定科目</t>
    <rPh sb="0" eb="1">
      <t>テキヨウ</t>
    </rPh>
    <phoneticPr fontId="1"/>
  </si>
  <si>
    <t>科　　目　　の　　内　　容</t>
    <rPh sb="0" eb="1">
      <t>シナ</t>
    </rPh>
    <rPh sb="3" eb="4">
      <t>メ</t>
    </rPh>
    <rPh sb="9" eb="10">
      <t>ナイ</t>
    </rPh>
    <rPh sb="12" eb="13">
      <t>ヨウ</t>
    </rPh>
    <phoneticPr fontId="1"/>
  </si>
  <si>
    <t>前月より繰越</t>
    <rPh sb="0" eb="1">
      <t>ゼン</t>
    </rPh>
    <rPh sb="1" eb="2">
      <t>ツキ</t>
    </rPh>
    <rPh sb="4" eb="6">
      <t>クリコシ</t>
    </rPh>
    <phoneticPr fontId="1"/>
  </si>
  <si>
    <t>000</t>
    <phoneticPr fontId="1"/>
  </si>
  <si>
    <t>(150</t>
    <phoneticPr fontId="1"/>
  </si>
  <si>
    <t>000)</t>
    <phoneticPr fontId="1"/>
  </si>
  <si>
    <t>35</t>
    <phoneticPr fontId="1"/>
  </si>
  <si>
    <t>売上（収入金）</t>
    <rPh sb="0" eb="1">
      <t>ウ</t>
    </rPh>
    <rPh sb="1" eb="2">
      <t>ア</t>
    </rPh>
    <rPh sb="3" eb="5">
      <t>シュウニュウ</t>
    </rPh>
    <rPh sb="5" eb="6">
      <t>キン</t>
    </rPh>
    <phoneticPr fontId="1"/>
  </si>
  <si>
    <t>　　年分</t>
    <rPh sb="2" eb="3">
      <t>ネン</t>
    </rPh>
    <rPh sb="3" eb="4">
      <t>ブン</t>
    </rPh>
    <phoneticPr fontId="1"/>
  </si>
  <si>
    <t>家事費</t>
    <rPh sb="0" eb="2">
      <t>カジ</t>
    </rPh>
    <rPh sb="2" eb="3">
      <t>ヒ</t>
    </rPh>
    <phoneticPr fontId="1"/>
  </si>
  <si>
    <t>車両費</t>
    <rPh sb="0" eb="2">
      <t>シャリョウ</t>
    </rPh>
    <rPh sb="2" eb="3">
      <t>ヒ</t>
    </rPh>
    <phoneticPr fontId="1"/>
  </si>
  <si>
    <t>事業用として使用した電話料や切手代、インターネット回線料などの費用です。</t>
    <rPh sb="0" eb="3">
      <t>ジギョウヨウ</t>
    </rPh>
    <rPh sb="6" eb="8">
      <t>シヨウ</t>
    </rPh>
    <rPh sb="10" eb="12">
      <t>デンワ</t>
    </rPh>
    <rPh sb="12" eb="13">
      <t>リョウ</t>
    </rPh>
    <rPh sb="14" eb="16">
      <t>キッテ</t>
    </rPh>
    <rPh sb="16" eb="17">
      <t>ダイ</t>
    </rPh>
    <rPh sb="25" eb="27">
      <t>カイセン</t>
    </rPh>
    <rPh sb="27" eb="28">
      <t>リョウ</t>
    </rPh>
    <rPh sb="31" eb="33">
      <t>ヒヨウ</t>
    </rPh>
    <phoneticPr fontId="1"/>
  </si>
  <si>
    <t>事業用車両の燃料代、修理、メンテナンス、車検時の整備料などです。</t>
    <rPh sb="0" eb="3">
      <t>ジギョウヨウ</t>
    </rPh>
    <rPh sb="3" eb="5">
      <t>シャリョウ</t>
    </rPh>
    <rPh sb="6" eb="8">
      <t>ネンリョウ</t>
    </rPh>
    <rPh sb="8" eb="9">
      <t>ダイ</t>
    </rPh>
    <rPh sb="10" eb="12">
      <t>シュウリ</t>
    </rPh>
    <rPh sb="20" eb="22">
      <t>シャケン</t>
    </rPh>
    <rPh sb="22" eb="23">
      <t>トキ</t>
    </rPh>
    <rPh sb="24" eb="26">
      <t>セイビ</t>
    </rPh>
    <rPh sb="26" eb="27">
      <t>リョウ</t>
    </rPh>
    <phoneticPr fontId="1"/>
  </si>
  <si>
    <t>預金預入他</t>
    <rPh sb="0" eb="2">
      <t>ヨキン</t>
    </rPh>
    <rPh sb="2" eb="4">
      <t>アズケイレ</t>
    </rPh>
    <rPh sb="4" eb="5">
      <t>ホカ</t>
    </rPh>
    <phoneticPr fontId="1"/>
  </si>
  <si>
    <t>貸倒金</t>
    <rPh sb="0" eb="2">
      <t>カシダオレ</t>
    </rPh>
    <rPh sb="2" eb="3">
      <t>キン</t>
    </rPh>
    <phoneticPr fontId="1"/>
  </si>
  <si>
    <t>2</t>
    <phoneticPr fontId="1"/>
  </si>
  <si>
    <t>000</t>
    <phoneticPr fontId="1"/>
  </si>
  <si>
    <t>550</t>
    <phoneticPr fontId="1"/>
  </si>
  <si>
    <t>(13</t>
    <phoneticPr fontId="1"/>
  </si>
  <si>
    <t>(60</t>
    <phoneticPr fontId="1"/>
  </si>
  <si>
    <t>3</t>
    <phoneticPr fontId="1"/>
  </si>
  <si>
    <t>(550)</t>
    <phoneticPr fontId="1"/>
  </si>
  <si>
    <t>20</t>
    <phoneticPr fontId="1"/>
  </si>
  <si>
    <t>電気料（銀行引落）、自動車税</t>
    <rPh sb="0" eb="2">
      <t>デンキ</t>
    </rPh>
    <rPh sb="2" eb="3">
      <t>リョウ</t>
    </rPh>
    <rPh sb="4" eb="6">
      <t>ギンコウ</t>
    </rPh>
    <rPh sb="6" eb="8">
      <t>ヒキオトシ</t>
    </rPh>
    <rPh sb="10" eb="13">
      <t>ジドウシャ</t>
    </rPh>
    <rPh sb="13" eb="14">
      <t>ゼイ</t>
    </rPh>
    <phoneticPr fontId="1"/>
  </si>
  <si>
    <t>重量
16</t>
    <rPh sb="0" eb="2">
      <t>ジュウリョウ</t>
    </rPh>
    <phoneticPr fontId="1"/>
  </si>
  <si>
    <t>税
000</t>
    <phoneticPr fontId="1"/>
  </si>
  <si>
    <t>自賠
12</t>
    <rPh sb="0" eb="2">
      <t>ジバイ</t>
    </rPh>
    <phoneticPr fontId="1"/>
  </si>
  <si>
    <t>責
000</t>
    <phoneticPr fontId="1"/>
  </si>
  <si>
    <t>家事消費等</t>
    <rPh sb="0" eb="2">
      <t>カジ</t>
    </rPh>
    <rPh sb="2" eb="4">
      <t>ショウヒ</t>
    </rPh>
    <rPh sb="4" eb="5">
      <t>トウ</t>
    </rPh>
    <phoneticPr fontId="1"/>
  </si>
  <si>
    <t>商品及び製品(棚卸資産)などを家事用または贈答用に使用した場合、原則として通常の販売価格で計上する。</t>
    <rPh sb="0" eb="2">
      <t>ショウヒン</t>
    </rPh>
    <rPh sb="2" eb="3">
      <t>オヨ</t>
    </rPh>
    <rPh sb="4" eb="6">
      <t>セイヒン</t>
    </rPh>
    <rPh sb="7" eb="9">
      <t>タナオロシ</t>
    </rPh>
    <rPh sb="9" eb="11">
      <t>シサン</t>
    </rPh>
    <rPh sb="15" eb="18">
      <t>カジヨウ</t>
    </rPh>
    <rPh sb="21" eb="24">
      <t>ゾウトウヨウ</t>
    </rPh>
    <rPh sb="25" eb="27">
      <t>シヨウ</t>
    </rPh>
    <rPh sb="29" eb="31">
      <t>バアイ</t>
    </rPh>
    <rPh sb="32" eb="34">
      <t>ゲンソク</t>
    </rPh>
    <rPh sb="37" eb="39">
      <t>ツウジョウ</t>
    </rPh>
    <rPh sb="40" eb="42">
      <t>ハンバイ</t>
    </rPh>
    <rPh sb="42" eb="44">
      <t>カカク</t>
    </rPh>
    <rPh sb="45" eb="47">
      <t>ケイジョウ</t>
    </rPh>
    <phoneticPr fontId="1"/>
  </si>
  <si>
    <t>または、通常の販売価格×70％と仕入金額のいずれかのうち、大きい方の金額で計上する。</t>
    <rPh sb="4" eb="6">
      <t>ツウジョウ</t>
    </rPh>
    <rPh sb="7" eb="9">
      <t>ハンバイ</t>
    </rPh>
    <rPh sb="9" eb="11">
      <t>カカク</t>
    </rPh>
    <rPh sb="16" eb="18">
      <t>シイレ</t>
    </rPh>
    <rPh sb="18" eb="20">
      <t>キンガク</t>
    </rPh>
    <rPh sb="29" eb="30">
      <t>オオ</t>
    </rPh>
    <rPh sb="32" eb="33">
      <t>ホウ</t>
    </rPh>
    <rPh sb="34" eb="36">
      <t>キンガク</t>
    </rPh>
    <rPh sb="37" eb="39">
      <t>ケイジョウ</t>
    </rPh>
    <phoneticPr fontId="1"/>
  </si>
  <si>
    <t>12</t>
    <phoneticPr fontId="1"/>
  </si>
  <si>
    <t>38</t>
    <phoneticPr fontId="1"/>
  </si>
  <si>
    <t>322</t>
    <phoneticPr fontId="1"/>
  </si>
  <si>
    <t>312</t>
    <phoneticPr fontId="1"/>
  </si>
  <si>
    <t>412</t>
    <phoneticPr fontId="1"/>
  </si>
  <si>
    <t>600</t>
    <phoneticPr fontId="1"/>
  </si>
  <si>
    <t>442</t>
    <phoneticPr fontId="1"/>
  </si>
  <si>
    <t>372</t>
    <phoneticPr fontId="1"/>
  </si>
  <si>
    <t>274</t>
    <phoneticPr fontId="1"/>
  </si>
  <si>
    <t>214</t>
    <phoneticPr fontId="1"/>
  </si>
  <si>
    <t>111</t>
    <phoneticPr fontId="1"/>
  </si>
  <si>
    <t>54</t>
    <phoneticPr fontId="1"/>
  </si>
  <si>
    <t>154</t>
    <phoneticPr fontId="1"/>
  </si>
  <si>
    <t>216</t>
    <phoneticPr fontId="1"/>
  </si>
  <si>
    <t>206</t>
    <phoneticPr fontId="1"/>
  </si>
  <si>
    <t>148</t>
    <phoneticPr fontId="1"/>
  </si>
  <si>
    <t>預金</t>
    <rPh sb="0" eb="2">
      <t>ヨキン</t>
    </rPh>
    <phoneticPr fontId="1"/>
  </si>
  <si>
    <t>原材料などを支給して、これに加工などをしてもらうために支払う加工賃などです。</t>
    <rPh sb="0" eb="3">
      <t>ゲンザイリョウ</t>
    </rPh>
    <rPh sb="6" eb="8">
      <t>シキュウ</t>
    </rPh>
    <rPh sb="14" eb="16">
      <t>カコウ</t>
    </rPh>
    <rPh sb="27" eb="29">
      <t>シハラ</t>
    </rPh>
    <rPh sb="30" eb="33">
      <t>カコウチン</t>
    </rPh>
    <phoneticPr fontId="1"/>
  </si>
  <si>
    <t>建設業の外注費も。</t>
    <phoneticPr fontId="1"/>
  </si>
  <si>
    <t>算出根拠</t>
    <rPh sb="0" eb="2">
      <t>サンシュツ</t>
    </rPh>
    <rPh sb="2" eb="4">
      <t>コンキョ</t>
    </rPh>
    <phoneticPr fontId="1"/>
  </si>
  <si>
    <t>収入金額</t>
    <rPh sb="0" eb="2">
      <t>シュウニュウ</t>
    </rPh>
    <rPh sb="2" eb="4">
      <t>キンガク</t>
    </rPh>
    <phoneticPr fontId="1"/>
  </si>
  <si>
    <t>修正額</t>
    <rPh sb="0" eb="2">
      <t>シュウセイ</t>
    </rPh>
    <rPh sb="2" eb="3">
      <t>ガク</t>
    </rPh>
    <phoneticPr fontId="1"/>
  </si>
  <si>
    <t>決算事項</t>
    <rPh sb="0" eb="2">
      <t>ケッサン</t>
    </rPh>
    <rPh sb="2" eb="4">
      <t>ジコウ</t>
    </rPh>
    <phoneticPr fontId="1"/>
  </si>
  <si>
    <t>期末棚卸</t>
    <rPh sb="0" eb="2">
      <t>キマツ</t>
    </rPh>
    <rPh sb="2" eb="4">
      <t>タナオロシ</t>
    </rPh>
    <phoneticPr fontId="1"/>
  </si>
  <si>
    <t>差引原価</t>
    <rPh sb="0" eb="2">
      <t>サシヒキ</t>
    </rPh>
    <rPh sb="2" eb="4">
      <t>ゲンカ</t>
    </rPh>
    <phoneticPr fontId="1"/>
  </si>
  <si>
    <t>売上総利益</t>
    <rPh sb="0" eb="2">
      <t>ウリアゲ</t>
    </rPh>
    <rPh sb="2" eb="5">
      <t>ソウリエキ</t>
    </rPh>
    <phoneticPr fontId="1"/>
  </si>
  <si>
    <t>メモ</t>
    <phoneticPr fontId="1"/>
  </si>
  <si>
    <t>出　　　金</t>
    <rPh sb="0" eb="1">
      <t>デ</t>
    </rPh>
    <rPh sb="4" eb="5">
      <t>キン</t>
    </rPh>
    <phoneticPr fontId="1"/>
  </si>
  <si>
    <t>入　　金</t>
    <rPh sb="0" eb="1">
      <t>イレ</t>
    </rPh>
    <rPh sb="3" eb="4">
      <t>キン</t>
    </rPh>
    <phoneticPr fontId="1"/>
  </si>
  <si>
    <t>注　意　点</t>
    <rPh sb="0" eb="1">
      <t>チュウ</t>
    </rPh>
    <rPh sb="2" eb="3">
      <t>イ</t>
    </rPh>
    <rPh sb="4" eb="5">
      <t>テン</t>
    </rPh>
    <phoneticPr fontId="1"/>
  </si>
  <si>
    <t>支払手数料、振込手数料等も含みます</t>
    <rPh sb="0" eb="2">
      <t>シハライ</t>
    </rPh>
    <rPh sb="2" eb="5">
      <t>テスウリョウ</t>
    </rPh>
    <rPh sb="6" eb="8">
      <t>フリコミ</t>
    </rPh>
    <rPh sb="8" eb="11">
      <t>テスウリョウ</t>
    </rPh>
    <rPh sb="11" eb="12">
      <t>ナド</t>
    </rPh>
    <rPh sb="13" eb="14">
      <t>フク</t>
    </rPh>
    <phoneticPr fontId="1"/>
  </si>
  <si>
    <t>現金売上　○○組合費3月分</t>
    <rPh sb="0" eb="4">
      <t>ゲンキンウリアゲ</t>
    </rPh>
    <rPh sb="7" eb="10">
      <t>クミアイヒ</t>
    </rPh>
    <rPh sb="11" eb="13">
      <t>ガツブン</t>
    </rPh>
    <phoneticPr fontId="1"/>
  </si>
  <si>
    <t>売掛金入金（田中商店）・ガソリン代（エネオス）</t>
    <rPh sb="0" eb="2">
      <t>ウリカケ</t>
    </rPh>
    <rPh sb="2" eb="3">
      <t>キン</t>
    </rPh>
    <rPh sb="3" eb="5">
      <t>ニュウキン</t>
    </rPh>
    <rPh sb="6" eb="8">
      <t>タナカ</t>
    </rPh>
    <rPh sb="8" eb="10">
      <t>ショウテン</t>
    </rPh>
    <rPh sb="16" eb="17">
      <t>ダイ</t>
    </rPh>
    <phoneticPr fontId="1"/>
  </si>
  <si>
    <t>銀行へ預金（東西銀行）</t>
    <rPh sb="0" eb="2">
      <t>ギンコウ</t>
    </rPh>
    <rPh sb="3" eb="5">
      <t>ヨキン</t>
    </rPh>
    <rPh sb="6" eb="8">
      <t>トウザイ</t>
    </rPh>
    <rPh sb="8" eb="10">
      <t>ギンコウ</t>
    </rPh>
    <phoneticPr fontId="1"/>
  </si>
  <si>
    <t>包装紙、事務用品代（上下事務用品店）</t>
    <rPh sb="0" eb="2">
      <t>ホウソウ</t>
    </rPh>
    <rPh sb="2" eb="3">
      <t>カミ</t>
    </rPh>
    <rPh sb="4" eb="6">
      <t>ジム</t>
    </rPh>
    <rPh sb="6" eb="8">
      <t>ヨウヒン</t>
    </rPh>
    <rPh sb="8" eb="9">
      <t>ダイ</t>
    </rPh>
    <rPh sb="10" eb="12">
      <t>ウエシタ</t>
    </rPh>
    <rPh sb="12" eb="14">
      <t>ジム</t>
    </rPh>
    <rPh sb="14" eb="15">
      <t>ヨウ</t>
    </rPh>
    <rPh sb="15" eb="16">
      <t>ヒン</t>
    </rPh>
    <rPh sb="16" eb="17">
      <t>ミセ</t>
    </rPh>
    <phoneticPr fontId="1"/>
  </si>
  <si>
    <t>車修理代（朝倉オート）</t>
    <rPh sb="0" eb="1">
      <t>クルマ</t>
    </rPh>
    <rPh sb="1" eb="4">
      <t>シュウリダイ</t>
    </rPh>
    <rPh sb="5" eb="7">
      <t>アサクラ</t>
    </rPh>
    <phoneticPr fontId="1"/>
  </si>
  <si>
    <t>店舗火災保険（AB保険）</t>
    <rPh sb="0" eb="2">
      <t>テンポ</t>
    </rPh>
    <rPh sb="2" eb="4">
      <t>カサイ</t>
    </rPh>
    <rPh sb="4" eb="6">
      <t>ホケン</t>
    </rPh>
    <rPh sb="9" eb="11">
      <t>ホケン</t>
    </rPh>
    <phoneticPr fontId="1"/>
  </si>
  <si>
    <t>水道代（銀行引落）、組合交流会費（○○組合）</t>
    <rPh sb="0" eb="2">
      <t>スイドウ</t>
    </rPh>
    <rPh sb="2" eb="3">
      <t>ダイ</t>
    </rPh>
    <rPh sb="4" eb="6">
      <t>ギンコウ</t>
    </rPh>
    <rPh sb="6" eb="8">
      <t>ヒキオトシ</t>
    </rPh>
    <rPh sb="10" eb="11">
      <t>クミ</t>
    </rPh>
    <rPh sb="11" eb="12">
      <t>ア</t>
    </rPh>
    <rPh sb="12" eb="14">
      <t>コウリュウ</t>
    </rPh>
    <rPh sb="14" eb="16">
      <t>カイヒ</t>
    </rPh>
    <rPh sb="19" eb="21">
      <t>クミアイ</t>
    </rPh>
    <phoneticPr fontId="1"/>
  </si>
  <si>
    <t>得意先手土産（青井菓子店）</t>
    <rPh sb="0" eb="3">
      <t>トクイサキ</t>
    </rPh>
    <rPh sb="3" eb="6">
      <t>テミヤゲ</t>
    </rPh>
    <rPh sb="7" eb="9">
      <t>アオイ</t>
    </rPh>
    <rPh sb="9" eb="12">
      <t>カシテン</t>
    </rPh>
    <phoneticPr fontId="1"/>
  </si>
  <si>
    <t>※10</t>
    <phoneticPr fontId="1"/>
  </si>
  <si>
    <t>車輛任意保険（赤川保険）</t>
    <rPh sb="0" eb="2">
      <t>シャリョウ</t>
    </rPh>
    <rPh sb="2" eb="4">
      <t>ニンイ</t>
    </rPh>
    <rPh sb="4" eb="6">
      <t>ホケン</t>
    </rPh>
    <rPh sb="7" eb="8">
      <t>アカ</t>
    </rPh>
    <rPh sb="8" eb="9">
      <t>カワ</t>
    </rPh>
    <rPh sb="9" eb="11">
      <t>ホケン</t>
    </rPh>
    <phoneticPr fontId="1"/>
  </si>
  <si>
    <t>売掛金振込（山田商店）</t>
    <rPh sb="0" eb="2">
      <t>ウリカケ</t>
    </rPh>
    <rPh sb="2" eb="3">
      <t>キン</t>
    </rPh>
    <rPh sb="3" eb="5">
      <t>フリコミ</t>
    </rPh>
    <rPh sb="6" eb="8">
      <t>ヤマダ</t>
    </rPh>
    <rPh sb="8" eb="10">
      <t>ショウテン</t>
    </rPh>
    <phoneticPr fontId="1"/>
  </si>
  <si>
    <t>生活費・買掛金支払（吉田商店）</t>
    <rPh sb="0" eb="3">
      <t>セイカツヒ</t>
    </rPh>
    <rPh sb="4" eb="7">
      <t>カイカケキン</t>
    </rPh>
    <rPh sb="7" eb="9">
      <t>シハライ</t>
    </rPh>
    <rPh sb="10" eb="12">
      <t>ヨシダ</t>
    </rPh>
    <rPh sb="12" eb="14">
      <t>ショウテン</t>
    </rPh>
    <phoneticPr fontId="1"/>
  </si>
  <si>
    <t>車検代（朝倉オート）</t>
    <rPh sb="0" eb="2">
      <t>シャケン</t>
    </rPh>
    <rPh sb="2" eb="3">
      <t>ダイ</t>
    </rPh>
    <rPh sb="4" eb="6">
      <t>アサクラ</t>
    </rPh>
    <phoneticPr fontId="1"/>
  </si>
  <si>
    <t>外注費（吉永印刷所）、新聞折込広告（青空新聞）</t>
    <rPh sb="0" eb="3">
      <t>ガイチュウヒ</t>
    </rPh>
    <rPh sb="4" eb="6">
      <t>ヨシナガ</t>
    </rPh>
    <rPh sb="6" eb="8">
      <t>インサツ</t>
    </rPh>
    <rPh sb="8" eb="9">
      <t>トコロ</t>
    </rPh>
    <rPh sb="18" eb="20">
      <t>アオゾラ</t>
    </rPh>
    <rPh sb="20" eb="22">
      <t>シンブン</t>
    </rPh>
    <phoneticPr fontId="1"/>
  </si>
  <si>
    <t>売掛金入金（大田商店 小切手）</t>
    <rPh sb="0" eb="2">
      <t>ウリカケ</t>
    </rPh>
    <rPh sb="2" eb="3">
      <t>キン</t>
    </rPh>
    <rPh sb="3" eb="5">
      <t>ニュウキン</t>
    </rPh>
    <rPh sb="6" eb="8">
      <t>オオタ</t>
    </rPh>
    <rPh sb="8" eb="10">
      <t>ショウテン</t>
    </rPh>
    <rPh sb="11" eb="14">
      <t>コギッテ</t>
    </rPh>
    <phoneticPr fontId="1"/>
  </si>
  <si>
    <t>買掛金支払(山下商店 手形）</t>
    <rPh sb="0" eb="3">
      <t>カイカケキン</t>
    </rPh>
    <rPh sb="3" eb="5">
      <t>シハライ</t>
    </rPh>
    <rPh sb="6" eb="8">
      <t>ヤマシタ</t>
    </rPh>
    <rPh sb="8" eb="10">
      <t>ショウテン</t>
    </rPh>
    <rPh sb="11" eb="13">
      <t>テガタ</t>
    </rPh>
    <phoneticPr fontId="1"/>
  </si>
  <si>
    <t>収入印紙代 ・従業員新年会費(居酒屋黒田)</t>
    <rPh sb="0" eb="2">
      <t>シュウニュウ</t>
    </rPh>
    <rPh sb="2" eb="4">
      <t>インシ</t>
    </rPh>
    <rPh sb="4" eb="5">
      <t>ダイ</t>
    </rPh>
    <rPh sb="7" eb="10">
      <t>ジュウギョウイン</t>
    </rPh>
    <rPh sb="10" eb="13">
      <t>シンネンカイ</t>
    </rPh>
    <rPh sb="13" eb="14">
      <t>ヒ</t>
    </rPh>
    <rPh sb="15" eb="18">
      <t>イザカヤ</t>
    </rPh>
    <rPh sb="18" eb="20">
      <t>クロダ</t>
    </rPh>
    <phoneticPr fontId="1"/>
  </si>
  <si>
    <t>売掛金入金（山口商店　手形）</t>
    <rPh sb="0" eb="2">
      <t>ウリカケ</t>
    </rPh>
    <rPh sb="2" eb="3">
      <t>キン</t>
    </rPh>
    <rPh sb="3" eb="5">
      <t>ニュウキン</t>
    </rPh>
    <rPh sb="6" eb="8">
      <t>ヤマグチ</t>
    </rPh>
    <rPh sb="8" eb="10">
      <t>ショウテン</t>
    </rPh>
    <rPh sb="11" eb="13">
      <t>テガタ</t>
    </rPh>
    <phoneticPr fontId="1"/>
  </si>
  <si>
    <t>生命保険（青空生命保険）</t>
    <rPh sb="0" eb="2">
      <t>セイメイ</t>
    </rPh>
    <rPh sb="2" eb="4">
      <t>ホケン</t>
    </rPh>
    <rPh sb="5" eb="7">
      <t>アオゾラ</t>
    </rPh>
    <rPh sb="7" eb="9">
      <t>セイメイ</t>
    </rPh>
    <rPh sb="9" eb="11">
      <t>ホケン</t>
    </rPh>
    <phoneticPr fontId="1"/>
  </si>
  <si>
    <r>
      <t xml:space="preserve">売掛金入金（吉田商店　振込）
</t>
    </r>
    <r>
      <rPr>
        <sz val="9"/>
        <color theme="1"/>
        <rFont val="游ゴシック"/>
        <family val="3"/>
        <charset val="128"/>
        <scheme val="minor"/>
      </rPr>
      <t>（20万の売上金から振込手数料を差し引かれた）</t>
    </r>
    <rPh sb="0" eb="2">
      <t>ウリカケ</t>
    </rPh>
    <rPh sb="2" eb="3">
      <t>キン</t>
    </rPh>
    <rPh sb="3" eb="5">
      <t>ニュウキン</t>
    </rPh>
    <rPh sb="6" eb="8">
      <t>ヨシダ</t>
    </rPh>
    <rPh sb="8" eb="10">
      <t>ショウテン</t>
    </rPh>
    <rPh sb="18" eb="19">
      <t>マン</t>
    </rPh>
    <rPh sb="20" eb="22">
      <t>ウリアゲ</t>
    </rPh>
    <rPh sb="22" eb="23">
      <t>キン</t>
    </rPh>
    <rPh sb="25" eb="27">
      <t>フリコミ</t>
    </rPh>
    <rPh sb="27" eb="30">
      <t>テスウリョウ</t>
    </rPh>
    <rPh sb="31" eb="32">
      <t>サ</t>
    </rPh>
    <rPh sb="33" eb="34">
      <t>ヒ</t>
    </rPh>
    <phoneticPr fontId="1"/>
  </si>
  <si>
    <t>摘要欄には取引先名、取引内容を記入します。</t>
    <rPh sb="0" eb="2">
      <t>テキヨウ</t>
    </rPh>
    <rPh sb="2" eb="3">
      <t>ラン</t>
    </rPh>
    <rPh sb="5" eb="7">
      <t>トリヒキ</t>
    </rPh>
    <rPh sb="7" eb="8">
      <t>サキ</t>
    </rPh>
    <rPh sb="8" eb="9">
      <t>メイ</t>
    </rPh>
    <rPh sb="10" eb="12">
      <t>トリヒキ</t>
    </rPh>
    <rPh sb="12" eb="14">
      <t>ナイヨウ</t>
    </rPh>
    <rPh sb="15" eb="17">
      <t>キニュウ</t>
    </rPh>
    <phoneticPr fontId="1"/>
  </si>
  <si>
    <t>6</t>
    <phoneticPr fontId="1"/>
  </si>
  <si>
    <t>000</t>
    <phoneticPr fontId="1"/>
  </si>
  <si>
    <t>186</t>
    <phoneticPr fontId="1"/>
  </si>
  <si>
    <t>給与、専従者給料、預金引出（南北銀行）</t>
    <rPh sb="0" eb="2">
      <t>キュウヨ</t>
    </rPh>
    <rPh sb="3" eb="6">
      <t>センジュウシャ</t>
    </rPh>
    <rPh sb="6" eb="8">
      <t>キュウリョウ</t>
    </rPh>
    <rPh sb="9" eb="11">
      <t>ヨキン</t>
    </rPh>
    <rPh sb="11" eb="13">
      <t>ヒキダシ</t>
    </rPh>
    <rPh sb="14" eb="16">
      <t>ナンボク</t>
    </rPh>
    <rPh sb="16" eb="18">
      <t>ギンコウ</t>
    </rPh>
    <phoneticPr fontId="1"/>
  </si>
  <si>
    <t>空箱売却金（安井飲料）、生活費</t>
    <rPh sb="0" eb="2">
      <t>カラバコ</t>
    </rPh>
    <rPh sb="2" eb="4">
      <t>バイキャク</t>
    </rPh>
    <rPh sb="4" eb="5">
      <t>キン</t>
    </rPh>
    <rPh sb="6" eb="8">
      <t>ヤスイ</t>
    </rPh>
    <rPh sb="8" eb="10">
      <t>インリョウ</t>
    </rPh>
    <rPh sb="12" eb="15">
      <t>セイカツヒ</t>
    </rPh>
    <phoneticPr fontId="1"/>
  </si>
  <si>
    <t>現金仕入（南北商店）、備品保守料(星屑冷機)</t>
    <rPh sb="0" eb="2">
      <t>ゲンキン</t>
    </rPh>
    <rPh sb="2" eb="4">
      <t>シイ</t>
    </rPh>
    <rPh sb="5" eb="7">
      <t>ナンボク</t>
    </rPh>
    <rPh sb="7" eb="9">
      <t>ショウテン</t>
    </rPh>
    <rPh sb="11" eb="13">
      <t>ビヒン</t>
    </rPh>
    <rPh sb="13" eb="16">
      <t>ホシュリョウ</t>
    </rPh>
    <rPh sb="17" eb="19">
      <t>ホシクズ</t>
    </rPh>
    <rPh sb="19" eb="21">
      <t>レイキ</t>
    </rPh>
    <phoneticPr fontId="1"/>
  </si>
  <si>
    <t>12</t>
    <phoneticPr fontId="1"/>
  </si>
  <si>
    <t>（12</t>
    <phoneticPr fontId="1"/>
  </si>
  <si>
    <t>000）</t>
    <phoneticPr fontId="1"/>
  </si>
  <si>
    <t>作業場家賃（駅裏不動産）・売掛金入金（出口商店）、預金引出(南北銀行)</t>
    <rPh sb="0" eb="2">
      <t>サギョウ</t>
    </rPh>
    <rPh sb="2" eb="3">
      <t>バ</t>
    </rPh>
    <rPh sb="3" eb="5">
      <t>ヤチン</t>
    </rPh>
    <rPh sb="6" eb="7">
      <t>エキ</t>
    </rPh>
    <rPh sb="7" eb="8">
      <t>ウラ</t>
    </rPh>
    <rPh sb="8" eb="11">
      <t>フドウサン</t>
    </rPh>
    <rPh sb="13" eb="15">
      <t>ウリカケ</t>
    </rPh>
    <rPh sb="15" eb="16">
      <t>キン</t>
    </rPh>
    <rPh sb="16" eb="18">
      <t>ニュウキン</t>
    </rPh>
    <rPh sb="19" eb="21">
      <t>デグチ</t>
    </rPh>
    <rPh sb="21" eb="23">
      <t>ショウテン</t>
    </rPh>
    <rPh sb="25" eb="27">
      <t>ヨキン</t>
    </rPh>
    <rPh sb="27" eb="29">
      <t>ヒキダシ</t>
    </rPh>
    <rPh sb="30" eb="32">
      <t>ナンボク</t>
    </rPh>
    <rPh sb="32" eb="34">
      <t>ギンコウ</t>
    </rPh>
    <phoneticPr fontId="1"/>
  </si>
  <si>
    <t>50</t>
    <phoneticPr fontId="1"/>
  </si>
  <si>
    <t>預金引出(東西銀行)、源泉税納付</t>
    <rPh sb="0" eb="2">
      <t>ヨキン</t>
    </rPh>
    <rPh sb="2" eb="4">
      <t>ヒキダシ</t>
    </rPh>
    <rPh sb="5" eb="7">
      <t>トウザイ</t>
    </rPh>
    <rPh sb="7" eb="9">
      <t>ギンコウ</t>
    </rPh>
    <rPh sb="11" eb="13">
      <t>ゲンセン</t>
    </rPh>
    <rPh sb="13" eb="14">
      <t>ゼイ</t>
    </rPh>
    <rPh sb="14" eb="16">
      <t>ノウフ</t>
    </rPh>
    <phoneticPr fontId="1"/>
  </si>
  <si>
    <t>20</t>
    <phoneticPr fontId="1"/>
  </si>
  <si>
    <t>現金売上、ｷｬｼｭﾚｽ売上、借入金返済（南北銀行）、ｵｲﾙ交換(朝倉ｵｰﾄ)</t>
    <rPh sb="14" eb="16">
      <t>カリイレ</t>
    </rPh>
    <rPh sb="16" eb="17">
      <t>キン</t>
    </rPh>
    <rPh sb="17" eb="19">
      <t>ヘンサイ</t>
    </rPh>
    <rPh sb="20" eb="22">
      <t>ナンボク</t>
    </rPh>
    <rPh sb="22" eb="24">
      <t>ギンコウ</t>
    </rPh>
    <rPh sb="29" eb="31">
      <t>コウカン</t>
    </rPh>
    <rPh sb="32" eb="34">
      <t>アサクラ</t>
    </rPh>
    <phoneticPr fontId="1"/>
  </si>
  <si>
    <t>6
※54</t>
    <phoneticPr fontId="1"/>
  </si>
  <si>
    <t>000
000</t>
    <phoneticPr fontId="1"/>
  </si>
  <si>
    <t>科　　　　目</t>
    <rPh sb="0" eb="1">
      <t>シナ</t>
    </rPh>
    <rPh sb="5" eb="6">
      <t>メ</t>
    </rPh>
    <phoneticPr fontId="1"/>
  </si>
  <si>
    <t>差引</t>
    <rPh sb="0" eb="2">
      <t>サシヒキ</t>
    </rPh>
    <phoneticPr fontId="1"/>
  </si>
  <si>
    <t>家事費他</t>
    <rPh sb="0" eb="2">
      <t>カジ</t>
    </rPh>
    <rPh sb="2" eb="3">
      <t>ヒ</t>
    </rPh>
    <rPh sb="3" eb="4">
      <t>ホカ</t>
    </rPh>
    <phoneticPr fontId="1"/>
  </si>
  <si>
    <t>対象経費がある場合は、空欄に科目を追加してください</t>
    <rPh sb="0" eb="2">
      <t>タイショウ</t>
    </rPh>
    <rPh sb="2" eb="4">
      <t>ケイヒ</t>
    </rPh>
    <rPh sb="7" eb="9">
      <t>バアイ</t>
    </rPh>
    <rPh sb="11" eb="13">
      <t>クウラン</t>
    </rPh>
    <rPh sb="14" eb="16">
      <t>カモク</t>
    </rPh>
    <rPh sb="17" eb="19">
      <t>ツイカ</t>
    </rPh>
    <phoneticPr fontId="1"/>
  </si>
  <si>
    <t>＜　記入例　＞</t>
    <rPh sb="2" eb="4">
      <t>キニュウ</t>
    </rPh>
    <rPh sb="4" eb="5">
      <t>レイ</t>
    </rPh>
    <phoneticPr fontId="1"/>
  </si>
  <si>
    <t>※12月末迄の請求で翌年支払予定のもの</t>
    <rPh sb="3" eb="4">
      <t>ガツ</t>
    </rPh>
    <rPh sb="4" eb="5">
      <t>マツ</t>
    </rPh>
    <rPh sb="5" eb="6">
      <t>マデ</t>
    </rPh>
    <rPh sb="7" eb="9">
      <t>セイキュウ</t>
    </rPh>
    <rPh sb="10" eb="12">
      <t>ヨクネン</t>
    </rPh>
    <rPh sb="12" eb="14">
      <t>シハラ</t>
    </rPh>
    <rPh sb="14" eb="16">
      <t>ヨテイ</t>
    </rPh>
    <phoneticPr fontId="1"/>
  </si>
  <si>
    <t>※12月末迄の請求で翌年入金予定のもの</t>
    <rPh sb="3" eb="4">
      <t>ガツ</t>
    </rPh>
    <rPh sb="4" eb="5">
      <t>マツ</t>
    </rPh>
    <rPh sb="5" eb="6">
      <t>マデ</t>
    </rPh>
    <rPh sb="7" eb="9">
      <t>セイキュウ</t>
    </rPh>
    <rPh sb="10" eb="12">
      <t>ヨクネン</t>
    </rPh>
    <rPh sb="12" eb="14">
      <t>ニュウキン</t>
    </rPh>
    <rPh sb="14" eb="16">
      <t>ヨテイ</t>
    </rPh>
    <phoneticPr fontId="1"/>
  </si>
  <si>
    <t>売上</t>
    <rPh sb="0" eb="2">
      <t>ウリアゲ</t>
    </rPh>
    <phoneticPr fontId="1"/>
  </si>
  <si>
    <t>保存期間　7年</t>
    <rPh sb="0" eb="2">
      <t>ホゾン</t>
    </rPh>
    <rPh sb="2" eb="4">
      <t>キカン</t>
    </rPh>
    <rPh sb="6" eb="7">
      <t>ネン</t>
    </rPh>
    <phoneticPr fontId="1"/>
  </si>
  <si>
    <t>リース料</t>
    <rPh sb="3" eb="4">
      <t>リョウ</t>
    </rPh>
    <phoneticPr fontId="1"/>
  </si>
  <si>
    <t>地代家賃</t>
    <rPh sb="0" eb="2">
      <t>チダイ</t>
    </rPh>
    <rPh sb="2" eb="4">
      <t>ヤチン</t>
    </rPh>
    <phoneticPr fontId="1"/>
  </si>
  <si>
    <t>000</t>
    <phoneticPr fontId="1"/>
  </si>
  <si>
    <r>
      <rPr>
        <sz val="9"/>
        <rFont val="みかちゃん-PB"/>
        <family val="3"/>
        <charset val="128"/>
      </rPr>
      <t>（1</t>
    </r>
    <r>
      <rPr>
        <sz val="11"/>
        <rFont val="みかちゃん-PB"/>
        <family val="3"/>
        <charset val="128"/>
      </rPr>
      <t xml:space="preserve">
6</t>
    </r>
    <phoneticPr fontId="1"/>
  </si>
  <si>
    <r>
      <t xml:space="preserve">200）
</t>
    </r>
    <r>
      <rPr>
        <sz val="11"/>
        <rFont val="みかちゃん-PB"/>
        <family val="3"/>
        <charset val="128"/>
      </rPr>
      <t>000</t>
    </r>
    <phoneticPr fontId="1"/>
  </si>
  <si>
    <t>60
※40</t>
    <phoneticPr fontId="1"/>
  </si>
  <si>
    <t>(1</t>
    <phoneticPr fontId="1"/>
  </si>
  <si>
    <t>378</t>
    <phoneticPr fontId="1"/>
  </si>
  <si>
    <t>現金売上、預金引出（東西銀行）</t>
    <rPh sb="0" eb="4">
      <t>ゲンキンウリアゲ</t>
    </rPh>
    <rPh sb="5" eb="7">
      <t>ヨキン</t>
    </rPh>
    <rPh sb="7" eb="9">
      <t>ヒキダシ</t>
    </rPh>
    <rPh sb="10" eb="12">
      <t>トウザイ</t>
    </rPh>
    <rPh sb="12" eb="14">
      <t>ギンコウ</t>
    </rPh>
    <phoneticPr fontId="1"/>
  </si>
  <si>
    <t>40</t>
    <phoneticPr fontId="1"/>
  </si>
  <si>
    <t>500</t>
    <phoneticPr fontId="1"/>
  </si>
  <si>
    <t>000</t>
    <phoneticPr fontId="1"/>
  </si>
  <si>
    <t>70</t>
    <phoneticPr fontId="1"/>
  </si>
  <si>
    <t>194</t>
    <phoneticPr fontId="1"/>
  </si>
  <si>
    <t>車検
55</t>
    <rPh sb="0" eb="2">
      <t>シャケン</t>
    </rPh>
    <phoneticPr fontId="1"/>
  </si>
  <si>
    <t>整備
400</t>
    <rPh sb="0" eb="2">
      <t>セイビ</t>
    </rPh>
    <phoneticPr fontId="1"/>
  </si>
  <si>
    <t>117</t>
    <phoneticPr fontId="1"/>
  </si>
  <si>
    <t>114</t>
    <phoneticPr fontId="1"/>
  </si>
  <si>
    <t>98</t>
    <phoneticPr fontId="1"/>
  </si>
  <si>
    <t>153</t>
    <phoneticPr fontId="1"/>
  </si>
  <si>
    <t>396</t>
    <phoneticPr fontId="1"/>
  </si>
  <si>
    <t>43</t>
    <phoneticPr fontId="1"/>
  </si>
  <si>
    <t>7</t>
    <phoneticPr fontId="1"/>
  </si>
  <si>
    <t>190</t>
    <phoneticPr fontId="1"/>
  </si>
  <si>
    <t>143</t>
    <phoneticPr fontId="1"/>
  </si>
  <si>
    <t>65</t>
    <phoneticPr fontId="1"/>
  </si>
  <si>
    <t>消費税本則課税の方は、軽減税率対象対象金額に※を付け、税区分ごとに集計できるようにしておきます</t>
    <rPh sb="0" eb="3">
      <t>ショウヒゼイ</t>
    </rPh>
    <rPh sb="3" eb="5">
      <t>ホンソク</t>
    </rPh>
    <rPh sb="5" eb="7">
      <t>カゼイ</t>
    </rPh>
    <rPh sb="8" eb="9">
      <t>カタ</t>
    </rPh>
    <rPh sb="11" eb="13">
      <t>ケイゲン</t>
    </rPh>
    <rPh sb="13" eb="15">
      <t>ゼイリツ</t>
    </rPh>
    <rPh sb="14" eb="15">
      <t>リツ</t>
    </rPh>
    <rPh sb="15" eb="17">
      <t>タイショウ</t>
    </rPh>
    <rPh sb="17" eb="19">
      <t>タイショウ</t>
    </rPh>
    <rPh sb="19" eb="21">
      <t>キンガク</t>
    </rPh>
    <rPh sb="24" eb="25">
      <t>ツ</t>
    </rPh>
    <rPh sb="27" eb="30">
      <t>ゼイクブン</t>
    </rPh>
    <rPh sb="33" eb="35">
      <t>シュウケイ</t>
    </rPh>
    <phoneticPr fontId="1"/>
  </si>
  <si>
    <t>前頁より繰越</t>
    <rPh sb="0" eb="1">
      <t>ゼン</t>
    </rPh>
    <rPh sb="1" eb="2">
      <t>ページ</t>
    </rPh>
    <rPh sb="4" eb="6">
      <t>クリコシ</t>
    </rPh>
    <phoneticPr fontId="1"/>
  </si>
  <si>
    <t>勘定科目内訳表</t>
    <rPh sb="0" eb="2">
      <t>カンジョウ</t>
    </rPh>
    <rPh sb="2" eb="4">
      <t>カモク</t>
    </rPh>
    <rPh sb="4" eb="6">
      <t>ウチワケ</t>
    </rPh>
    <rPh sb="6" eb="7">
      <t>ヒョウ</t>
    </rPh>
    <phoneticPr fontId="1"/>
  </si>
  <si>
    <t>商品、製品の売上、修理や加工等役務の提供による売上</t>
    <rPh sb="0" eb="2">
      <t>ショウヒン</t>
    </rPh>
    <rPh sb="3" eb="5">
      <t>セイヒン</t>
    </rPh>
    <rPh sb="6" eb="8">
      <t>ウリアゲ</t>
    </rPh>
    <rPh sb="9" eb="11">
      <t>シュウリ</t>
    </rPh>
    <rPh sb="12" eb="14">
      <t>カコウ</t>
    </rPh>
    <rPh sb="14" eb="15">
      <t>ナド</t>
    </rPh>
    <rPh sb="15" eb="17">
      <t>エキム</t>
    </rPh>
    <rPh sb="18" eb="20">
      <t>テイキョウ</t>
    </rPh>
    <rPh sb="23" eb="25">
      <t>ウリアゲ</t>
    </rPh>
    <phoneticPr fontId="1"/>
  </si>
  <si>
    <t>家事消費、事業用消費は巻末に記入</t>
    <rPh sb="0" eb="2">
      <t>カジ</t>
    </rPh>
    <rPh sb="2" eb="4">
      <t>ショウヒ</t>
    </rPh>
    <rPh sb="5" eb="8">
      <t>ジギョウヨウ</t>
    </rPh>
    <rPh sb="8" eb="10">
      <t>ショウヒ</t>
    </rPh>
    <rPh sb="11" eb="13">
      <t>カンマツ</t>
    </rPh>
    <rPh sb="14" eb="16">
      <t>キニュウ</t>
    </rPh>
    <phoneticPr fontId="1"/>
  </si>
  <si>
    <t>①従業員の慰安、保険、修養、慶弔などのために支払う費用、②事業主が従業員のために負担する中小企業退職金共済事業団など特定の団体が行う退職金共済契約に基づいて支払う掛金などです。</t>
    <rPh sb="1" eb="4">
      <t>ジュウギョウイン</t>
    </rPh>
    <rPh sb="5" eb="7">
      <t>イアン</t>
    </rPh>
    <rPh sb="8" eb="10">
      <t>ホケン</t>
    </rPh>
    <rPh sb="11" eb="13">
      <t>シュウヨウ</t>
    </rPh>
    <rPh sb="14" eb="16">
      <t>ケイチョウ</t>
    </rPh>
    <rPh sb="22" eb="24">
      <t>シハラ</t>
    </rPh>
    <rPh sb="25" eb="27">
      <t>ヒヨウ</t>
    </rPh>
    <phoneticPr fontId="1"/>
  </si>
  <si>
    <t>事業主が負担すべき従業員の健康保険、雇用保険、労災保険料などの保険料は、別途に「法定福利費」の科目を設けて記入して下さい。</t>
    <rPh sb="0" eb="3">
      <t>ジギョウヌシ</t>
    </rPh>
    <rPh sb="4" eb="6">
      <t>フタン</t>
    </rPh>
    <rPh sb="9" eb="12">
      <t>ジュウギョウイン</t>
    </rPh>
    <rPh sb="13" eb="15">
      <t>ケンコウ</t>
    </rPh>
    <phoneticPr fontId="1"/>
  </si>
  <si>
    <t>（収入）</t>
    <rPh sb="1" eb="3">
      <t>シュウニュウ</t>
    </rPh>
    <phoneticPr fontId="1"/>
  </si>
  <si>
    <t>その他営業活動による収入</t>
    <rPh sb="2" eb="3">
      <t>ホカ</t>
    </rPh>
    <rPh sb="3" eb="5">
      <t>エイギョウ</t>
    </rPh>
    <rPh sb="5" eb="7">
      <t>カツドウ</t>
    </rPh>
    <rPh sb="10" eb="12">
      <t>シュウニュウ</t>
    </rPh>
    <phoneticPr fontId="1"/>
  </si>
  <si>
    <t>リベート、空瓶や作業屑等の売却収入、補助金、助成金等</t>
    <rPh sb="5" eb="7">
      <t>カラビン</t>
    </rPh>
    <rPh sb="8" eb="10">
      <t>サギョウ</t>
    </rPh>
    <rPh sb="10" eb="11">
      <t>クズ</t>
    </rPh>
    <rPh sb="11" eb="12">
      <t>ナド</t>
    </rPh>
    <rPh sb="13" eb="15">
      <t>バイキャク</t>
    </rPh>
    <rPh sb="15" eb="17">
      <t>シュウニュウ</t>
    </rPh>
    <rPh sb="18" eb="21">
      <t>ホジョキン</t>
    </rPh>
    <rPh sb="22" eb="25">
      <t>ジョセイキン</t>
    </rPh>
    <rPh sb="25" eb="26">
      <t>ナド</t>
    </rPh>
    <phoneticPr fontId="1"/>
  </si>
  <si>
    <t>経費にならないもの（家事費で処理）所得税、相続税、住民税、国税の延滞税、加算税、地方税の延滞金、加算金、罰金、科料、過料。</t>
    <rPh sb="0" eb="2">
      <t>ケイヒ</t>
    </rPh>
    <rPh sb="10" eb="12">
      <t>カジ</t>
    </rPh>
    <rPh sb="12" eb="13">
      <t>ヒ</t>
    </rPh>
    <rPh sb="14" eb="16">
      <t>ショリ</t>
    </rPh>
    <phoneticPr fontId="1"/>
  </si>
  <si>
    <t>使用人に支払う給料や賃金などの費用のほか、食事や被服などの現物で支給した場合の費用も含まれます。</t>
    <rPh sb="0" eb="2">
      <t>シヨウ</t>
    </rPh>
    <rPh sb="2" eb="3">
      <t>ニン</t>
    </rPh>
    <rPh sb="4" eb="6">
      <t>シハラ</t>
    </rPh>
    <rPh sb="7" eb="9">
      <t>キュウリョウ</t>
    </rPh>
    <rPh sb="10" eb="12">
      <t>チンギン</t>
    </rPh>
    <rPh sb="15" eb="17">
      <t>ヒヨウ</t>
    </rPh>
    <rPh sb="21" eb="23">
      <t>ショクジ</t>
    </rPh>
    <rPh sb="24" eb="26">
      <t>ヒフク</t>
    </rPh>
    <rPh sb="29" eb="31">
      <t>ゲンブツ</t>
    </rPh>
    <rPh sb="32" eb="34">
      <t>シキュウ</t>
    </rPh>
    <rPh sb="36" eb="38">
      <t>バアイ</t>
    </rPh>
    <rPh sb="39" eb="41">
      <t>ヒヨウ</t>
    </rPh>
    <phoneticPr fontId="1"/>
  </si>
  <si>
    <t>青色申告者の経営する事業に従事している専従者への給与。</t>
    <rPh sb="0" eb="2">
      <t>アオイロ</t>
    </rPh>
    <rPh sb="2" eb="4">
      <t>シンコク</t>
    </rPh>
    <rPh sb="4" eb="5">
      <t>シャ</t>
    </rPh>
    <rPh sb="6" eb="8">
      <t>ケイエイ</t>
    </rPh>
    <rPh sb="10" eb="12">
      <t>ジギョウ</t>
    </rPh>
    <rPh sb="13" eb="15">
      <t>ジュウジ</t>
    </rPh>
    <rPh sb="19" eb="22">
      <t>センジュウシャ</t>
    </rPh>
    <rPh sb="24" eb="26">
      <t>キュウヨ</t>
    </rPh>
    <phoneticPr fontId="1"/>
  </si>
  <si>
    <t>(同居の家族)</t>
    <phoneticPr fontId="1"/>
  </si>
  <si>
    <t>車検時の重量税、印紙税は租税公課自賠責保険は損害保険料で処理する等、消費税非課税経費を分けます。</t>
    <rPh sb="0" eb="2">
      <t>シャケン</t>
    </rPh>
    <rPh sb="2" eb="3">
      <t>トキ</t>
    </rPh>
    <rPh sb="4" eb="7">
      <t>ジュウリョウゼイ</t>
    </rPh>
    <rPh sb="8" eb="11">
      <t>インシゼイ</t>
    </rPh>
    <rPh sb="12" eb="14">
      <t>ソゼイ</t>
    </rPh>
    <rPh sb="14" eb="16">
      <t>コウカ</t>
    </rPh>
    <phoneticPr fontId="1"/>
  </si>
  <si>
    <t>テレビ、ラジオ、新聞、雑誌などの広告費用、店名入りのマッチ、タオルなどの購入費用やクーポン券の費用などです。</t>
    <rPh sb="8" eb="10">
      <t>シンブン</t>
    </rPh>
    <rPh sb="11" eb="13">
      <t>ザッシ</t>
    </rPh>
    <rPh sb="16" eb="18">
      <t>コウコク</t>
    </rPh>
    <rPh sb="18" eb="20">
      <t>ヒヨウ</t>
    </rPh>
    <rPh sb="21" eb="23">
      <t>テンメイ</t>
    </rPh>
    <rPh sb="23" eb="24">
      <t>イ</t>
    </rPh>
    <rPh sb="36" eb="38">
      <t>コウニュウ</t>
    </rPh>
    <rPh sb="38" eb="40">
      <t>ヒヨウ</t>
    </rPh>
    <phoneticPr fontId="1"/>
  </si>
  <si>
    <t>清掃用具、コピー機、ファックス、コンピューター等及びカラオケ機、車などの月々支払うリース契約料です。</t>
    <rPh sb="0" eb="2">
      <t>セイソウ</t>
    </rPh>
    <rPh sb="2" eb="4">
      <t>ヨウグ</t>
    </rPh>
    <rPh sb="8" eb="9">
      <t>キ</t>
    </rPh>
    <rPh sb="23" eb="24">
      <t>トウ</t>
    </rPh>
    <rPh sb="24" eb="25">
      <t>オヨ</t>
    </rPh>
    <rPh sb="30" eb="31">
      <t>キ</t>
    </rPh>
    <rPh sb="32" eb="33">
      <t>クルマ</t>
    </rPh>
    <rPh sb="36" eb="38">
      <t>ツキヅキ</t>
    </rPh>
    <rPh sb="38" eb="40">
      <t>シハラ</t>
    </rPh>
    <phoneticPr fontId="1"/>
  </si>
  <si>
    <t>他の経費科目にあたらない経費ですが、たとえば、商用の新聞や雑誌を数種類購入している場合のように同じ経費が相当回数発生するような時は、「新聞雑誌購入費」というようになるべく特定の科目を設けます。</t>
    <rPh sb="0" eb="1">
      <t>ホカ</t>
    </rPh>
    <rPh sb="2" eb="4">
      <t>ケイヒ</t>
    </rPh>
    <rPh sb="4" eb="6">
      <t>カモク</t>
    </rPh>
    <rPh sb="12" eb="14">
      <t>ケイヒ</t>
    </rPh>
    <rPh sb="23" eb="25">
      <t>ショウヨウ</t>
    </rPh>
    <rPh sb="26" eb="28">
      <t>シンブン</t>
    </rPh>
    <rPh sb="29" eb="31">
      <t>ザッシ</t>
    </rPh>
    <rPh sb="32" eb="35">
      <t>スウシュルイ</t>
    </rPh>
    <rPh sb="35" eb="37">
      <t>コウニュウ</t>
    </rPh>
    <phoneticPr fontId="1"/>
  </si>
  <si>
    <t>生活費、国民年金、健康保険税、所得税、住民税、小規模企業共済掛金、生命保険料など、
事業の経費とならないものは、ここに記入します。(現金支出でないものは記入しなくてもよい)</t>
    <rPh sb="0" eb="3">
      <t>セイカツヒ</t>
    </rPh>
    <rPh sb="4" eb="6">
      <t>コクミン</t>
    </rPh>
    <rPh sb="6" eb="8">
      <t>ネンキン</t>
    </rPh>
    <rPh sb="9" eb="11">
      <t>ケンコウ</t>
    </rPh>
    <rPh sb="11" eb="13">
      <t>ホケン</t>
    </rPh>
    <rPh sb="13" eb="14">
      <t>ゼイ</t>
    </rPh>
    <rPh sb="15" eb="18">
      <t>ショトクゼイ</t>
    </rPh>
    <rPh sb="19" eb="22">
      <t>ジュウミンゼイ</t>
    </rPh>
    <rPh sb="23" eb="26">
      <t>ショウキボ</t>
    </rPh>
    <rPh sb="26" eb="28">
      <t>キギョウ</t>
    </rPh>
    <rPh sb="28" eb="30">
      <t>キョウサイ</t>
    </rPh>
    <rPh sb="30" eb="32">
      <t>カケキン</t>
    </rPh>
    <rPh sb="33" eb="35">
      <t>セイメイ</t>
    </rPh>
    <rPh sb="35" eb="37">
      <t>ホケン</t>
    </rPh>
    <rPh sb="37" eb="38">
      <t>リョウ</t>
    </rPh>
    <phoneticPr fontId="1"/>
  </si>
  <si>
    <t>事業用の建物、機械、器具、工具などの修理のための費用、たとえば、壁の塗替、床など、通常の管理または修理のために支払った費用や保守契約料です。</t>
    <rPh sb="0" eb="3">
      <t>ジギョウヨウ</t>
    </rPh>
    <rPh sb="4" eb="6">
      <t>タテモノ</t>
    </rPh>
    <rPh sb="7" eb="9">
      <t>キカイ</t>
    </rPh>
    <rPh sb="10" eb="12">
      <t>キグ</t>
    </rPh>
    <rPh sb="13" eb="15">
      <t>コウグ</t>
    </rPh>
    <rPh sb="18" eb="20">
      <t>シュウリ</t>
    </rPh>
    <rPh sb="24" eb="26">
      <t>ヒヨウ</t>
    </rPh>
    <rPh sb="32" eb="33">
      <t>カベ</t>
    </rPh>
    <rPh sb="34" eb="36">
      <t>ヌリカ</t>
    </rPh>
    <rPh sb="37" eb="38">
      <t>ユカ</t>
    </rPh>
    <phoneticPr fontId="1"/>
  </si>
  <si>
    <t>家事費ではありませんが、借入金返済の元本、預金預け入れ等の経費にならない支出もここに記入します。</t>
    <phoneticPr fontId="1"/>
  </si>
  <si>
    <t>記入の仕方</t>
    <rPh sb="0" eb="2">
      <t>キニュウ</t>
    </rPh>
    <rPh sb="3" eb="5">
      <t>シカタ</t>
    </rPh>
    <phoneticPr fontId="1"/>
  </si>
  <si>
    <t>取得価格が10万円以上のものは償却資産明細表に記入します。</t>
    <rPh sb="0" eb="2">
      <t>シュトク</t>
    </rPh>
    <rPh sb="2" eb="4">
      <t>カカク</t>
    </rPh>
    <rPh sb="7" eb="9">
      <t>マンエン</t>
    </rPh>
    <rPh sb="9" eb="11">
      <t>イジョウ</t>
    </rPh>
    <rPh sb="15" eb="17">
      <t>ショウキャク</t>
    </rPh>
    <rPh sb="17" eb="19">
      <t>シサン</t>
    </rPh>
    <rPh sb="19" eb="22">
      <t>メイサイヒョウ</t>
    </rPh>
    <rPh sb="23" eb="25">
      <t>キニュウ</t>
    </rPh>
    <phoneticPr fontId="1"/>
  </si>
  <si>
    <t>計</t>
    <rPh sb="0" eb="1">
      <t>ケイ</t>
    </rPh>
    <phoneticPr fontId="1"/>
  </si>
  <si>
    <t>期首棚卸</t>
    <rPh sb="0" eb="2">
      <t>キシュ</t>
    </rPh>
    <rPh sb="2" eb="4">
      <t>タナオロシ</t>
    </rPh>
    <phoneticPr fontId="1"/>
  </si>
  <si>
    <t>仕入金額</t>
    <rPh sb="0" eb="2">
      <t>シイレ</t>
    </rPh>
    <rPh sb="2" eb="4">
      <t>キンガク</t>
    </rPh>
    <phoneticPr fontId="1"/>
  </si>
  <si>
    <t>経費計</t>
    <rPh sb="0" eb="2">
      <t>ケイヒ</t>
    </rPh>
    <rPh sb="2" eb="3">
      <t>ケイ</t>
    </rPh>
    <phoneticPr fontId="1"/>
  </si>
  <si>
    <t>減価償却費</t>
    <rPh sb="0" eb="2">
      <t>ゲンカ</t>
    </rPh>
    <rPh sb="2" eb="4">
      <t>ショウキャク</t>
    </rPh>
    <rPh sb="4" eb="5">
      <t>ヒ</t>
    </rPh>
    <phoneticPr fontId="1"/>
  </si>
  <si>
    <t>差引金額</t>
    <rPh sb="0" eb="2">
      <t>サシヒキ</t>
    </rPh>
    <rPh sb="2" eb="4">
      <t>キンガク</t>
    </rPh>
    <phoneticPr fontId="1"/>
  </si>
  <si>
    <t>所得金額</t>
    <rPh sb="0" eb="2">
      <t>ショトク</t>
    </rPh>
    <rPh sb="2" eb="4">
      <t>キンガク</t>
    </rPh>
    <phoneticPr fontId="1"/>
  </si>
  <si>
    <t>特前所得</t>
    <rPh sb="0" eb="1">
      <t>トク</t>
    </rPh>
    <rPh sb="1" eb="2">
      <t>マエ</t>
    </rPh>
    <rPh sb="2" eb="4">
      <t>ショトク</t>
    </rPh>
    <phoneticPr fontId="1"/>
  </si>
  <si>
    <t>青色申告
特別控除</t>
    <rPh sb="0" eb="2">
      <t>アオイロ</t>
    </rPh>
    <rPh sb="2" eb="4">
      <t>シンコク</t>
    </rPh>
    <rPh sb="5" eb="7">
      <t>トクベツ</t>
    </rPh>
    <rPh sb="7" eb="9">
      <t>コウジョ</t>
    </rPh>
    <phoneticPr fontId="1"/>
  </si>
  <si>
    <t>販売や集金などの商用のためにかかった汽車賃、バス代、車代、宿泊料などの費用です。従業員の通勤手当の内非課税分</t>
    <rPh sb="0" eb="2">
      <t>ハンバイ</t>
    </rPh>
    <rPh sb="3" eb="5">
      <t>シュウキン</t>
    </rPh>
    <rPh sb="8" eb="10">
      <t>ショウヨウ</t>
    </rPh>
    <rPh sb="18" eb="20">
      <t>キシャ</t>
    </rPh>
    <rPh sb="20" eb="21">
      <t>チン</t>
    </rPh>
    <rPh sb="24" eb="25">
      <t>ダイ</t>
    </rPh>
    <rPh sb="26" eb="28">
      <t>クルマダイ</t>
    </rPh>
    <rPh sb="29" eb="32">
      <t>シュクハクリョウ</t>
    </rPh>
    <rPh sb="35" eb="37">
      <t>ヒヨウ</t>
    </rPh>
    <phoneticPr fontId="1"/>
  </si>
  <si>
    <t>その取得価格が10万円未満のものでも貸衣しょう業の貸衣しょうや旅館業の客用ふとんなどのように事業上基本的に重要な資産は減価償却資産になります。</t>
    <rPh sb="2" eb="4">
      <t>シュトク</t>
    </rPh>
    <rPh sb="4" eb="6">
      <t>カカク</t>
    </rPh>
    <rPh sb="9" eb="11">
      <t>マンエン</t>
    </rPh>
    <rPh sb="11" eb="13">
      <t>ミマン</t>
    </rPh>
    <rPh sb="48" eb="49">
      <t>ウエ</t>
    </rPh>
    <phoneticPr fontId="1"/>
  </si>
  <si>
    <t>電話機リース料（星空ﾌｧｲﾅﾝｽ）</t>
    <rPh sb="0" eb="3">
      <t>デンワキ</t>
    </rPh>
    <rPh sb="6" eb="7">
      <t>リョウ</t>
    </rPh>
    <rPh sb="8" eb="9">
      <t>ホシ</t>
    </rPh>
    <rPh sb="9" eb="10">
      <t>ソラ</t>
    </rPh>
    <phoneticPr fontId="1"/>
  </si>
  <si>
    <t>現金残高</t>
    <rPh sb="0" eb="2">
      <t>ゲンキン</t>
    </rPh>
    <rPh sb="2" eb="4">
      <t>ザンダカ</t>
    </rPh>
    <phoneticPr fontId="1"/>
  </si>
  <si>
    <t>計　上　額</t>
    <rPh sb="0" eb="1">
      <t>ケイ</t>
    </rPh>
    <rPh sb="2" eb="3">
      <t>ウエ</t>
    </rPh>
    <rPh sb="4" eb="5">
      <t>ガク</t>
    </rPh>
    <phoneticPr fontId="1"/>
  </si>
  <si>
    <t>家事消費等</t>
    <rPh sb="0" eb="2">
      <t>カジ</t>
    </rPh>
    <rPh sb="2" eb="4">
      <t>ショウヒ</t>
    </rPh>
    <rPh sb="4" eb="5">
      <t>ナド</t>
    </rPh>
    <phoneticPr fontId="1"/>
  </si>
  <si>
    <t>事業用として使用した水道料、電気料、ガス代、石油代、灯油代、下水道代などです。</t>
    <rPh sb="0" eb="3">
      <t>ジギョウヨウ</t>
    </rPh>
    <rPh sb="6" eb="8">
      <t>シヨウ</t>
    </rPh>
    <rPh sb="10" eb="13">
      <t>スイドウリョウ</t>
    </rPh>
    <rPh sb="14" eb="16">
      <t>デンキ</t>
    </rPh>
    <rPh sb="16" eb="17">
      <t>リョウ</t>
    </rPh>
    <rPh sb="20" eb="21">
      <t>ダイ</t>
    </rPh>
    <rPh sb="22" eb="24">
      <t>セキユ</t>
    </rPh>
    <rPh sb="24" eb="25">
      <t>ダイ</t>
    </rPh>
    <rPh sb="26" eb="28">
      <t>トウユ</t>
    </rPh>
    <rPh sb="28" eb="29">
      <t>ダイ</t>
    </rPh>
    <rPh sb="30" eb="33">
      <t>ゲスイドウ</t>
    </rPh>
    <rPh sb="33" eb="34">
      <t>ダイ</t>
    </rPh>
    <phoneticPr fontId="1"/>
  </si>
  <si>
    <t>支出の理由を特に明らかにしておく。特に、飲食代については、接待した相手先名、同伴者名を摘要欄に記録して下さい。</t>
    <rPh sb="0" eb="2">
      <t>シシュツ</t>
    </rPh>
    <rPh sb="3" eb="5">
      <t>リユウ</t>
    </rPh>
    <rPh sb="6" eb="7">
      <t>トク</t>
    </rPh>
    <rPh sb="8" eb="9">
      <t>アキ</t>
    </rPh>
    <rPh sb="17" eb="18">
      <t>トク</t>
    </rPh>
    <phoneticPr fontId="1"/>
  </si>
  <si>
    <t>商品などの棚卸資産や、事業用の減価償却資産に対する火災保険料などの掛金、自動車保険料、車検時の自賠責保険、業務上の賠償責任保険などです。</t>
    <rPh sb="0" eb="2">
      <t>ショウヒン</t>
    </rPh>
    <rPh sb="5" eb="6">
      <t>タナ</t>
    </rPh>
    <rPh sb="6" eb="7">
      <t>オロシ</t>
    </rPh>
    <rPh sb="7" eb="9">
      <t>シサン</t>
    </rPh>
    <rPh sb="11" eb="14">
      <t>ジギョウヨウ</t>
    </rPh>
    <rPh sb="15" eb="17">
      <t>ゲンカ</t>
    </rPh>
    <rPh sb="17" eb="19">
      <t>ショウキャク</t>
    </rPh>
    <rPh sb="19" eb="21">
      <t>シサン</t>
    </rPh>
    <rPh sb="22" eb="23">
      <t>タイ</t>
    </rPh>
    <rPh sb="25" eb="27">
      <t>カサイ</t>
    </rPh>
    <rPh sb="27" eb="30">
      <t>ホケンリョウ</t>
    </rPh>
    <rPh sb="33" eb="35">
      <t>カケキン</t>
    </rPh>
    <phoneticPr fontId="1"/>
  </si>
  <si>
    <t>生命保険料、簡易保険料、健康保険、国民年金の掛金等は経費になりません。(家事費）</t>
    <rPh sb="0" eb="2">
      <t>セイメイ</t>
    </rPh>
    <rPh sb="2" eb="4">
      <t>ホケン</t>
    </rPh>
    <rPh sb="4" eb="5">
      <t>リョウ</t>
    </rPh>
    <rPh sb="6" eb="8">
      <t>カンイ</t>
    </rPh>
    <rPh sb="8" eb="10">
      <t>ホケン</t>
    </rPh>
    <rPh sb="10" eb="11">
      <t>リョウ</t>
    </rPh>
    <rPh sb="12" eb="14">
      <t>ケンコウ</t>
    </rPh>
    <rPh sb="14" eb="16">
      <t>ホケン</t>
    </rPh>
    <phoneticPr fontId="1"/>
  </si>
  <si>
    <t>資産的支出となるものは除外して償却資産明細表に記入します。</t>
    <rPh sb="0" eb="3">
      <t>シサンテキ</t>
    </rPh>
    <rPh sb="3" eb="5">
      <t>シシュツ</t>
    </rPh>
    <rPh sb="11" eb="13">
      <t>ジョガイ</t>
    </rPh>
    <rPh sb="15" eb="17">
      <t>ショウキャク</t>
    </rPh>
    <rPh sb="19" eb="21">
      <t>メイサイ</t>
    </rPh>
    <rPh sb="21" eb="22">
      <t>ヒョウ</t>
    </rPh>
    <rPh sb="23" eb="25">
      <t>キニュウ</t>
    </rPh>
    <phoneticPr fontId="1"/>
  </si>
  <si>
    <t>商品、原材料の仕入、工事材料代、商品の取引運賃</t>
    <rPh sb="0" eb="2">
      <t>ショウヒン</t>
    </rPh>
    <rPh sb="3" eb="6">
      <t>ゲンザイリョウ</t>
    </rPh>
    <rPh sb="7" eb="9">
      <t>シイレ</t>
    </rPh>
    <rPh sb="10" eb="12">
      <t>コウジ</t>
    </rPh>
    <rPh sb="12" eb="14">
      <t>ザイリョウ</t>
    </rPh>
    <rPh sb="14" eb="15">
      <t>ダイ</t>
    </rPh>
    <rPh sb="16" eb="18">
      <t>ショウヒン</t>
    </rPh>
    <rPh sb="19" eb="21">
      <t>トリヒキ</t>
    </rPh>
    <rPh sb="21" eb="23">
      <t>ウンチン</t>
    </rPh>
    <phoneticPr fontId="1"/>
  </si>
  <si>
    <t>包装材料、事務用品、飲食店の割箸などの購入費用です。
なお、工具、器具、備品などのうち、使用可能期限が1年未満のものや、取得価格が10万円未満のもので、その年中に使用したものの購入費用もこの科目に含めてもさしつかえありません。</t>
    <rPh sb="0" eb="2">
      <t>ホウソウ</t>
    </rPh>
    <rPh sb="2" eb="4">
      <t>ザイリョウ</t>
    </rPh>
    <rPh sb="5" eb="7">
      <t>ジム</t>
    </rPh>
    <rPh sb="7" eb="9">
      <t>ヨウヒン</t>
    </rPh>
    <rPh sb="10" eb="12">
      <t>インショク</t>
    </rPh>
    <rPh sb="12" eb="13">
      <t>テン</t>
    </rPh>
    <rPh sb="14" eb="15">
      <t>ワ</t>
    </rPh>
    <rPh sb="15" eb="16">
      <t>ハシ</t>
    </rPh>
    <rPh sb="19" eb="21">
      <t>コウニュウ</t>
    </rPh>
    <rPh sb="21" eb="23">
      <t>ヒヨウ</t>
    </rPh>
    <phoneticPr fontId="1"/>
  </si>
  <si>
    <t>事業用費用の借入金利子や資産の割賦購入による支払利子、受取手形の割引料、信用保証料などです。</t>
    <rPh sb="0" eb="3">
      <t>ジギョウヨウ</t>
    </rPh>
    <rPh sb="3" eb="5">
      <t>ヒヨウ</t>
    </rPh>
    <rPh sb="6" eb="8">
      <t>カリイレ</t>
    </rPh>
    <rPh sb="8" eb="9">
      <t>キン</t>
    </rPh>
    <rPh sb="9" eb="11">
      <t>リシ</t>
    </rPh>
    <rPh sb="12" eb="14">
      <t>シサン</t>
    </rPh>
    <rPh sb="15" eb="16">
      <t>ワリ</t>
    </rPh>
    <rPh sb="16" eb="17">
      <t>フ</t>
    </rPh>
    <rPh sb="17" eb="19">
      <t>コウニュウ</t>
    </rPh>
    <rPh sb="22" eb="24">
      <t>シハライ</t>
    </rPh>
    <rPh sb="24" eb="26">
      <t>リシ</t>
    </rPh>
    <rPh sb="27" eb="29">
      <t>ウケトリ</t>
    </rPh>
    <rPh sb="29" eb="31">
      <t>テガタ</t>
    </rPh>
    <rPh sb="32" eb="35">
      <t>ワリビキリョウ</t>
    </rPh>
    <rPh sb="36" eb="38">
      <t>シンヨウ</t>
    </rPh>
    <rPh sb="38" eb="40">
      <t>ホショウ</t>
    </rPh>
    <rPh sb="40" eb="41">
      <t>リョウ</t>
    </rPh>
    <phoneticPr fontId="1"/>
  </si>
  <si>
    <t>店舗、工場、倉庫、車庫、材料置場等の敷地の地代や、店舗、工場、倉庫等の建物を借りている場合の敷金、礼金、家賃。</t>
    <rPh sb="0" eb="2">
      <t>テンポ</t>
    </rPh>
    <rPh sb="3" eb="5">
      <t>コウジョウ</t>
    </rPh>
    <rPh sb="6" eb="8">
      <t>ソウコ</t>
    </rPh>
    <rPh sb="9" eb="11">
      <t>シャコ</t>
    </rPh>
    <rPh sb="12" eb="14">
      <t>ザイリョウ</t>
    </rPh>
    <rPh sb="14" eb="15">
      <t>オ</t>
    </rPh>
    <rPh sb="15" eb="16">
      <t>バ</t>
    </rPh>
    <rPh sb="16" eb="17">
      <t>トウ</t>
    </rPh>
    <rPh sb="18" eb="20">
      <t>シキチ</t>
    </rPh>
    <rPh sb="21" eb="23">
      <t>チダイ</t>
    </rPh>
    <rPh sb="25" eb="27">
      <t>テンポ</t>
    </rPh>
    <rPh sb="28" eb="30">
      <t>コウジョウ</t>
    </rPh>
    <rPh sb="31" eb="33">
      <t>ソウコ</t>
    </rPh>
    <rPh sb="33" eb="34">
      <t>トウ</t>
    </rPh>
    <rPh sb="35" eb="37">
      <t>タテモノ</t>
    </rPh>
    <rPh sb="38" eb="39">
      <t>カ</t>
    </rPh>
    <phoneticPr fontId="1"/>
  </si>
  <si>
    <t>軽減税率対象の売上額</t>
    <rPh sb="0" eb="2">
      <t>ケイゲン</t>
    </rPh>
    <rPh sb="2" eb="4">
      <t>ゼイリツ</t>
    </rPh>
    <rPh sb="4" eb="6">
      <t>タイショウ</t>
    </rPh>
    <rPh sb="7" eb="9">
      <t>ウリアゲ</t>
    </rPh>
    <rPh sb="9" eb="10">
      <t>ガク</t>
    </rPh>
    <phoneticPr fontId="1"/>
  </si>
  <si>
    <t>軽減税率対象の仕入額</t>
    <rPh sb="0" eb="2">
      <t>ケイゲン</t>
    </rPh>
    <rPh sb="2" eb="4">
      <t>ゼイリツ</t>
    </rPh>
    <rPh sb="4" eb="6">
      <t>タイショウ</t>
    </rPh>
    <rPh sb="7" eb="9">
      <t>シイレ</t>
    </rPh>
    <rPh sb="9" eb="10">
      <t>ガク</t>
    </rPh>
    <phoneticPr fontId="1"/>
  </si>
  <si>
    <t>軽減税率対象の売上、仕入がある方は、対象の売上と仕入を集計し、記入して下さい</t>
    <rPh sb="0" eb="2">
      <t>ケイゲン</t>
    </rPh>
    <rPh sb="2" eb="4">
      <t>ゼイリツ</t>
    </rPh>
    <rPh sb="4" eb="6">
      <t>タイショウ</t>
    </rPh>
    <rPh sb="7" eb="9">
      <t>ウリアゲ</t>
    </rPh>
    <rPh sb="10" eb="12">
      <t>シイ</t>
    </rPh>
    <rPh sb="15" eb="16">
      <t>カタ</t>
    </rPh>
    <rPh sb="18" eb="20">
      <t>タイショウ</t>
    </rPh>
    <rPh sb="21" eb="23">
      <t>ウリアゲ</t>
    </rPh>
    <rPh sb="24" eb="26">
      <t>シイ</t>
    </rPh>
    <rPh sb="27" eb="29">
      <t>シュウケイ</t>
    </rPh>
    <rPh sb="31" eb="33">
      <t>キニュウ</t>
    </rPh>
    <rPh sb="35" eb="36">
      <t>クダ</t>
    </rPh>
    <phoneticPr fontId="1"/>
  </si>
  <si>
    <t>地代家賃の内訳</t>
    <rPh sb="0" eb="2">
      <t>チダイ</t>
    </rPh>
    <rPh sb="2" eb="4">
      <t>ヤチン</t>
    </rPh>
    <rPh sb="5" eb="7">
      <t>ウチワケ</t>
    </rPh>
    <phoneticPr fontId="1"/>
  </si>
  <si>
    <t>支払先の住所</t>
    <rPh sb="0" eb="2">
      <t>シハライ</t>
    </rPh>
    <rPh sb="2" eb="3">
      <t>サキ</t>
    </rPh>
    <rPh sb="4" eb="6">
      <t>ジュウショ</t>
    </rPh>
    <phoneticPr fontId="1"/>
  </si>
  <si>
    <t>支払先の氏名</t>
    <rPh sb="0" eb="2">
      <t>シハライ</t>
    </rPh>
    <rPh sb="2" eb="3">
      <t>サキ</t>
    </rPh>
    <rPh sb="4" eb="6">
      <t>シメイ</t>
    </rPh>
    <phoneticPr fontId="1"/>
  </si>
  <si>
    <t>用途</t>
    <rPh sb="0" eb="2">
      <t>ヨウト</t>
    </rPh>
    <phoneticPr fontId="1"/>
  </si>
  <si>
    <t>年間金額</t>
    <rPh sb="0" eb="2">
      <t>ネンカン</t>
    </rPh>
    <rPh sb="2" eb="4">
      <t>キンガク</t>
    </rPh>
    <phoneticPr fontId="1"/>
  </si>
  <si>
    <t>業界誌（商用）(現代書房)</t>
    <rPh sb="0" eb="2">
      <t>ギョウカイ</t>
    </rPh>
    <rPh sb="2" eb="3">
      <t>シ</t>
    </rPh>
    <rPh sb="4" eb="6">
      <t>ショウヨウ</t>
    </rPh>
    <rPh sb="8" eb="10">
      <t>ゲンダイ</t>
    </rPh>
    <rPh sb="10" eb="12">
      <t>ショボウ</t>
    </rPh>
    <phoneticPr fontId="1"/>
  </si>
  <si>
    <t>000
100</t>
    <phoneticPr fontId="1"/>
  </si>
  <si>
    <t>2
702</t>
    <phoneticPr fontId="1"/>
  </si>
  <si>
    <t>茶菓子代、飲食代等事業上必要な得意先などの接待の費用や、得意先に対する中元、歳暮などの贈答品の購入費用、および事業経営上やむを得ない寄附金、お祝金、香典等現金の出金などです。
お祝金、香典等の現金出金で領収書が取れない時は出金伝票等を使用して記録を残してください。</t>
    <rPh sb="0" eb="4">
      <t>チャガシダイ</t>
    </rPh>
    <rPh sb="5" eb="7">
      <t>インショク</t>
    </rPh>
    <rPh sb="7" eb="8">
      <t>ダイ</t>
    </rPh>
    <rPh sb="8" eb="9">
      <t>トウ</t>
    </rPh>
    <rPh sb="9" eb="11">
      <t>ジギョウ</t>
    </rPh>
    <rPh sb="11" eb="12">
      <t>ジョウ</t>
    </rPh>
    <rPh sb="12" eb="14">
      <t>ヒツヨウ</t>
    </rPh>
    <rPh sb="15" eb="18">
      <t>トクイサキ</t>
    </rPh>
    <rPh sb="21" eb="23">
      <t>セッタイ</t>
    </rPh>
    <rPh sb="24" eb="26">
      <t>ヒヨウ</t>
    </rPh>
    <rPh sb="28" eb="31">
      <t>トクイサキ</t>
    </rPh>
    <rPh sb="32" eb="33">
      <t>タイ</t>
    </rPh>
    <rPh sb="35" eb="37">
      <t>チュウゲン</t>
    </rPh>
    <rPh sb="38" eb="40">
      <t>セイボ</t>
    </rPh>
    <rPh sb="121" eb="123">
      <t>キロク</t>
    </rPh>
    <rPh sb="124" eb="125">
      <t>ノコ</t>
    </rPh>
    <phoneticPr fontId="1"/>
  </si>
  <si>
    <t>青色専従者給与届出した額が上限です。</t>
    <rPh sb="0" eb="2">
      <t>アオイロ</t>
    </rPh>
    <rPh sb="2" eb="5">
      <t>センジュウシャ</t>
    </rPh>
    <rPh sb="5" eb="7">
      <t>キュウヨ</t>
    </rPh>
    <rPh sb="7" eb="8">
      <t>トドケ</t>
    </rPh>
    <rPh sb="8" eb="9">
      <t>デ</t>
    </rPh>
    <rPh sb="11" eb="12">
      <t>ガク</t>
    </rPh>
    <rPh sb="13" eb="15">
      <t>ジョウゲン</t>
    </rPh>
    <phoneticPr fontId="1"/>
  </si>
  <si>
    <r>
      <t xml:space="preserve">①税など：収入印紙、事業税、固定資産税、自動車税、不動産取得税、登録免許税、税抜経理の消費税納税、倒産防止共済掛金、役場等の証明書料、車検時の重量税、車検印紙税など。
②会費：組織に所属することで生じる会費。
</t>
    </r>
    <r>
      <rPr>
        <sz val="9"/>
        <color theme="1"/>
        <rFont val="游ゴシック"/>
        <family val="3"/>
        <charset val="128"/>
        <scheme val="minor"/>
      </rPr>
      <t>懇親会や研修の参加料、事務手数料などは会費ではありませんので、内容に合った科目を選択してください。</t>
    </r>
    <rPh sb="1" eb="2">
      <t>ゼイ</t>
    </rPh>
    <rPh sb="5" eb="7">
      <t>シュウニュウ</t>
    </rPh>
    <rPh sb="7" eb="9">
      <t>インシ</t>
    </rPh>
    <rPh sb="10" eb="13">
      <t>ジギョウゼイ</t>
    </rPh>
    <rPh sb="14" eb="16">
      <t>コテイ</t>
    </rPh>
    <rPh sb="16" eb="19">
      <t>シサンゼイ</t>
    </rPh>
    <rPh sb="20" eb="23">
      <t>ジドウシャ</t>
    </rPh>
    <rPh sb="23" eb="24">
      <t>ゼイ</t>
    </rPh>
    <rPh sb="25" eb="28">
      <t>フドウサン</t>
    </rPh>
    <rPh sb="28" eb="30">
      <t>シュトク</t>
    </rPh>
    <rPh sb="30" eb="31">
      <t>ゼイ</t>
    </rPh>
    <rPh sb="32" eb="34">
      <t>トウロク</t>
    </rPh>
    <rPh sb="34" eb="37">
      <t>メンキョゼイ</t>
    </rPh>
    <rPh sb="38" eb="39">
      <t>ゼイ</t>
    </rPh>
    <rPh sb="39" eb="40">
      <t>ヌ</t>
    </rPh>
    <rPh sb="67" eb="69">
      <t>シャケン</t>
    </rPh>
    <rPh sb="69" eb="70">
      <t>トキ</t>
    </rPh>
    <rPh sb="71" eb="74">
      <t>ジュウリョウゼイ</t>
    </rPh>
    <rPh sb="75" eb="77">
      <t>シャケン</t>
    </rPh>
    <rPh sb="77" eb="79">
      <t>インシ</t>
    </rPh>
    <rPh sb="79" eb="80">
      <t>ゼイ</t>
    </rPh>
    <rPh sb="136" eb="138">
      <t>ナイヨウ</t>
    </rPh>
    <rPh sb="139" eb="140">
      <t>ア</t>
    </rPh>
    <rPh sb="142" eb="144">
      <t>カモク</t>
    </rPh>
    <rPh sb="145" eb="147">
      <t>センタク</t>
    </rPh>
    <phoneticPr fontId="1"/>
  </si>
  <si>
    <t>家事費に当る分は年末に按分。</t>
    <rPh sb="11" eb="13">
      <t>アンブン</t>
    </rPh>
    <phoneticPr fontId="1"/>
  </si>
  <si>
    <t>家事費に当る分は年末に按分。</t>
    <rPh sb="0" eb="2">
      <t>カジ</t>
    </rPh>
    <rPh sb="2" eb="3">
      <t>ヒ</t>
    </rPh>
    <rPh sb="4" eb="5">
      <t>ア</t>
    </rPh>
    <rPh sb="6" eb="7">
      <t>ブン</t>
    </rPh>
    <rPh sb="8" eb="10">
      <t>ネンマツ</t>
    </rPh>
    <rPh sb="11" eb="13">
      <t>アンブン</t>
    </rPh>
    <phoneticPr fontId="1"/>
  </si>
  <si>
    <t>1　月　分　　</t>
    <rPh sb="2" eb="3">
      <t>ガツ</t>
    </rPh>
    <rPh sb="4" eb="5">
      <t>ブン</t>
    </rPh>
    <phoneticPr fontId="1"/>
  </si>
  <si>
    <t>空欄1</t>
    <rPh sb="0" eb="2">
      <t>クウラン</t>
    </rPh>
    <phoneticPr fontId="1"/>
  </si>
  <si>
    <t>空欄2</t>
    <rPh sb="0" eb="2">
      <t>クウラン</t>
    </rPh>
    <phoneticPr fontId="1"/>
  </si>
  <si>
    <t>※手形・当座（小切手）・預金（銀行振込・銀行引落）の取引は預金欄に入力してください。なお、預金欄は現金残高に集計されません。</t>
    <rPh sb="1" eb="3">
      <t>テガタ</t>
    </rPh>
    <rPh sb="4" eb="6">
      <t>トウザ</t>
    </rPh>
    <rPh sb="7" eb="10">
      <t>コギッテ</t>
    </rPh>
    <rPh sb="12" eb="14">
      <t>ヨキン</t>
    </rPh>
    <rPh sb="15" eb="17">
      <t>ギンコウ</t>
    </rPh>
    <rPh sb="17" eb="19">
      <t>フリコミ</t>
    </rPh>
    <rPh sb="20" eb="22">
      <t>ギンコウ</t>
    </rPh>
    <rPh sb="22" eb="24">
      <t>ヒキオトシ</t>
    </rPh>
    <rPh sb="26" eb="28">
      <t>トリヒキ</t>
    </rPh>
    <rPh sb="29" eb="31">
      <t>ヨキン</t>
    </rPh>
    <rPh sb="31" eb="32">
      <t>ラン</t>
    </rPh>
    <rPh sb="33" eb="35">
      <t>ニュウリョク</t>
    </rPh>
    <rPh sb="45" eb="47">
      <t>ヨキン</t>
    </rPh>
    <rPh sb="47" eb="48">
      <t>ラン</t>
    </rPh>
    <rPh sb="49" eb="51">
      <t>ゲンキン</t>
    </rPh>
    <rPh sb="51" eb="53">
      <t>ザンダカ</t>
    </rPh>
    <rPh sb="54" eb="56">
      <t>シュウケイ</t>
    </rPh>
    <phoneticPr fontId="1"/>
  </si>
  <si>
    <t>合計</t>
    <rPh sb="0" eb="2">
      <t>ゴウケイ</t>
    </rPh>
    <phoneticPr fontId="1"/>
  </si>
  <si>
    <t>2　月　分　　</t>
    <rPh sb="2" eb="3">
      <t>ガツ</t>
    </rPh>
    <rPh sb="4" eb="5">
      <t>ブン</t>
    </rPh>
    <phoneticPr fontId="1"/>
  </si>
  <si>
    <t>3　月　分　　</t>
    <rPh sb="2" eb="3">
      <t>ガツ</t>
    </rPh>
    <rPh sb="4" eb="5">
      <t>ブン</t>
    </rPh>
    <phoneticPr fontId="1"/>
  </si>
  <si>
    <t>4　月　分　　</t>
    <rPh sb="2" eb="3">
      <t>ガツ</t>
    </rPh>
    <rPh sb="4" eb="5">
      <t>ブン</t>
    </rPh>
    <phoneticPr fontId="1"/>
  </si>
  <si>
    <t>5　月　分　　</t>
    <rPh sb="2" eb="3">
      <t>ガツ</t>
    </rPh>
    <rPh sb="4" eb="5">
      <t>ブン</t>
    </rPh>
    <phoneticPr fontId="1"/>
  </si>
  <si>
    <t>6　月　分　　</t>
    <rPh sb="2" eb="3">
      <t>ガツ</t>
    </rPh>
    <rPh sb="4" eb="5">
      <t>ブン</t>
    </rPh>
    <phoneticPr fontId="1"/>
  </si>
  <si>
    <t>7　月　分　　</t>
    <rPh sb="2" eb="3">
      <t>ガツ</t>
    </rPh>
    <rPh sb="4" eb="5">
      <t>ブン</t>
    </rPh>
    <phoneticPr fontId="1"/>
  </si>
  <si>
    <t>8　月　分　　</t>
    <rPh sb="2" eb="3">
      <t>ガツ</t>
    </rPh>
    <rPh sb="4" eb="5">
      <t>ブン</t>
    </rPh>
    <phoneticPr fontId="1"/>
  </si>
  <si>
    <t>9　月　分　　</t>
    <rPh sb="2" eb="3">
      <t>ガツ</t>
    </rPh>
    <rPh sb="4" eb="5">
      <t>ブン</t>
    </rPh>
    <phoneticPr fontId="1"/>
  </si>
  <si>
    <t>10　月　分　　</t>
    <rPh sb="3" eb="4">
      <t>ガツ</t>
    </rPh>
    <rPh sb="5" eb="6">
      <t>ブン</t>
    </rPh>
    <phoneticPr fontId="1"/>
  </si>
  <si>
    <t>11　月　分　　</t>
    <rPh sb="3" eb="4">
      <t>ガツ</t>
    </rPh>
    <rPh sb="5" eb="6">
      <t>ブン</t>
    </rPh>
    <phoneticPr fontId="1"/>
  </si>
  <si>
    <t>12　月　分　　</t>
    <rPh sb="3" eb="4">
      <t>ガツ</t>
    </rPh>
    <rPh sb="5" eb="6">
      <t>ブン</t>
    </rPh>
    <phoneticPr fontId="1"/>
  </si>
  <si>
    <t xml:space="preserve">摘要欄には、取引先名、取引内容を記入します。
手形・当座（小切手）・預金（銀行振込・銀行引落）等の現金以外の取引は預金欄に入力し、現金での入金、出金のみを現金欄に入力してください。
消費税が軽減税率対象の商品を販売されている方は、本集計にも入力し、さらに別途、軽減税率対象の売上、仕入を区分集計します。消費税本則課税の方は、軽減税率対象の経費も、別途、税区分ごとに集計できるようにしておきます。
</t>
    <rPh sb="47" eb="48">
      <t>ナド</t>
    </rPh>
    <rPh sb="49" eb="51">
      <t>ゲンキン</t>
    </rPh>
    <rPh sb="51" eb="53">
      <t>イガイ</t>
    </rPh>
    <rPh sb="57" eb="59">
      <t>ヨキン</t>
    </rPh>
    <rPh sb="59" eb="60">
      <t>ラン</t>
    </rPh>
    <rPh sb="61" eb="63">
      <t>ニュウリョク</t>
    </rPh>
    <rPh sb="65" eb="67">
      <t>ゲンキン</t>
    </rPh>
    <rPh sb="69" eb="71">
      <t>ニュウキン</t>
    </rPh>
    <rPh sb="72" eb="74">
      <t>シュッキン</t>
    </rPh>
    <rPh sb="77" eb="79">
      <t>ゲンキン</t>
    </rPh>
    <rPh sb="79" eb="80">
      <t>ラン</t>
    </rPh>
    <rPh sb="81" eb="83">
      <t>ニュウリョク</t>
    </rPh>
    <rPh sb="91" eb="94">
      <t>ショウヒゼイ</t>
    </rPh>
    <rPh sb="95" eb="97">
      <t>ケイゲン</t>
    </rPh>
    <rPh sb="97" eb="99">
      <t>ゼイリツ</t>
    </rPh>
    <rPh sb="99" eb="101">
      <t>タイショウ</t>
    </rPh>
    <rPh sb="102" eb="104">
      <t>ショウヒン</t>
    </rPh>
    <rPh sb="105" eb="107">
      <t>ハンバイ</t>
    </rPh>
    <rPh sb="112" eb="113">
      <t>カタ</t>
    </rPh>
    <rPh sb="127" eb="129">
      <t>ベット</t>
    </rPh>
    <rPh sb="130" eb="136">
      <t>ケイゲンゼイリツタイショウ</t>
    </rPh>
    <rPh sb="137" eb="139">
      <t>ウリアゲ</t>
    </rPh>
    <rPh sb="140" eb="142">
      <t>シイ</t>
    </rPh>
    <rPh sb="143" eb="145">
      <t>クブン</t>
    </rPh>
    <rPh sb="145" eb="147">
      <t>シュウケイ</t>
    </rPh>
    <rPh sb="173" eb="175">
      <t>ベット</t>
    </rPh>
    <phoneticPr fontId="1"/>
  </si>
  <si>
    <t>令和</t>
    <rPh sb="0" eb="2">
      <t>レイワ</t>
    </rPh>
    <phoneticPr fontId="1"/>
  </si>
  <si>
    <t>摘要欄には、取引先名、取引内容を記入します。</t>
  </si>
  <si>
    <t>保護を解除するには、各シートごとに、メニュ欄の「校閲」→「シートの保護解除」をして下さい。</t>
    <rPh sb="0" eb="2">
      <t>ホゴ</t>
    </rPh>
    <rPh sb="3" eb="5">
      <t>カイジョ</t>
    </rPh>
    <rPh sb="10" eb="11">
      <t>カク</t>
    </rPh>
    <rPh sb="21" eb="22">
      <t>ラン</t>
    </rPh>
    <rPh sb="24" eb="26">
      <t>コウエツ</t>
    </rPh>
    <rPh sb="33" eb="35">
      <t>ホゴ</t>
    </rPh>
    <rPh sb="35" eb="37">
      <t>カイジョ</t>
    </rPh>
    <rPh sb="41" eb="42">
      <t>クダ</t>
    </rPh>
    <phoneticPr fontId="1"/>
  </si>
  <si>
    <t>解除されたエクセルの集計において誤りがあった場合、商工会では一切の責任を負えません。</t>
    <rPh sb="0" eb="2">
      <t>カイジョ</t>
    </rPh>
    <rPh sb="10" eb="12">
      <t>シュウケイ</t>
    </rPh>
    <rPh sb="16" eb="17">
      <t>アヤマ</t>
    </rPh>
    <rPh sb="22" eb="24">
      <t>バアイ</t>
    </rPh>
    <rPh sb="25" eb="28">
      <t>ショウコウカイ</t>
    </rPh>
    <rPh sb="30" eb="32">
      <t>イッサイ</t>
    </rPh>
    <rPh sb="33" eb="35">
      <t>セキニン</t>
    </rPh>
    <rPh sb="36" eb="37">
      <t>オ</t>
    </rPh>
    <phoneticPr fontId="1"/>
  </si>
  <si>
    <t>保護を解除すれば、項目を増やすなど自由に修正を加えることができます。</t>
    <rPh sb="0" eb="2">
      <t>ホゴ</t>
    </rPh>
    <rPh sb="3" eb="5">
      <t>カイジョ</t>
    </rPh>
    <rPh sb="9" eb="11">
      <t>コウモク</t>
    </rPh>
    <rPh sb="12" eb="13">
      <t>フ</t>
    </rPh>
    <rPh sb="17" eb="19">
      <t>ジユウ</t>
    </rPh>
    <rPh sb="20" eb="22">
      <t>シュウセイ</t>
    </rPh>
    <rPh sb="23" eb="24">
      <t>クワ</t>
    </rPh>
    <phoneticPr fontId="1"/>
  </si>
  <si>
    <t>ただし、解除された本エクセルの集計が誤っていないかどうかは、ご自身で必ず行ってください。</t>
    <rPh sb="4" eb="6">
      <t>カイジョ</t>
    </rPh>
    <rPh sb="9" eb="10">
      <t>ホン</t>
    </rPh>
    <rPh sb="15" eb="17">
      <t>シュウケイ</t>
    </rPh>
    <rPh sb="18" eb="19">
      <t>アヤマ</t>
    </rPh>
    <rPh sb="31" eb="33">
      <t>ジシン</t>
    </rPh>
    <rPh sb="34" eb="35">
      <t>カナラ</t>
    </rPh>
    <rPh sb="36" eb="37">
      <t>オコナ</t>
    </rPh>
    <phoneticPr fontId="1"/>
  </si>
  <si>
    <t>金額の欄に文字を入力すると、集計に反映できませんので、金額についての説明などメモしたい場合は、摘要欄に入力してください。</t>
    <rPh sb="0" eb="2">
      <t>キンガク</t>
    </rPh>
    <rPh sb="3" eb="4">
      <t>ラン</t>
    </rPh>
    <rPh sb="5" eb="7">
      <t>モジ</t>
    </rPh>
    <rPh sb="8" eb="10">
      <t>ニュウリョク</t>
    </rPh>
    <rPh sb="14" eb="16">
      <t>シュウケイ</t>
    </rPh>
    <rPh sb="17" eb="19">
      <t>ハンエイ</t>
    </rPh>
    <rPh sb="27" eb="29">
      <t>キンガク</t>
    </rPh>
    <rPh sb="34" eb="36">
      <t>セツメイ</t>
    </rPh>
    <rPh sb="43" eb="45">
      <t>バアイ</t>
    </rPh>
    <rPh sb="47" eb="49">
      <t>テキヨウ</t>
    </rPh>
    <rPh sb="49" eb="50">
      <t>ラン</t>
    </rPh>
    <rPh sb="51" eb="53">
      <t>ニュウリョク</t>
    </rPh>
    <phoneticPr fontId="1"/>
  </si>
  <si>
    <t>本エクセルの修正について</t>
    <rPh sb="0" eb="1">
      <t>ホン</t>
    </rPh>
    <rPh sb="6" eb="8">
      <t>シュウセイ</t>
    </rPh>
    <phoneticPr fontId="1"/>
  </si>
  <si>
    <t>本エクセルには、計算式等がズレないように保護をかけています。</t>
    <rPh sb="0" eb="1">
      <t>ホン</t>
    </rPh>
    <rPh sb="8" eb="11">
      <t>ケイサンシキ</t>
    </rPh>
    <rPh sb="11" eb="12">
      <t>ナド</t>
    </rPh>
    <rPh sb="20" eb="22">
      <t>ホゴ</t>
    </rPh>
    <phoneticPr fontId="1"/>
  </si>
  <si>
    <t>この記入例は、手書き用現金出納帳のものです。エクセルで集計される方は、1日分の入力欄が「預金等用」と「現金用」の欄がありますので、それぞれに分けて入力してください。（預金等の取引にカッコをつける必要はありません）</t>
    <rPh sb="2" eb="4">
      <t>キニュウ</t>
    </rPh>
    <rPh sb="4" eb="5">
      <t>レイ</t>
    </rPh>
    <rPh sb="7" eb="9">
      <t>テガ</t>
    </rPh>
    <rPh sb="10" eb="11">
      <t>ヨウ</t>
    </rPh>
    <rPh sb="11" eb="13">
      <t>ゲンキン</t>
    </rPh>
    <rPh sb="13" eb="16">
      <t>スイトウチョウ</t>
    </rPh>
    <rPh sb="27" eb="29">
      <t>シュウケイ</t>
    </rPh>
    <rPh sb="32" eb="33">
      <t>カタ</t>
    </rPh>
    <rPh sb="36" eb="37">
      <t>ニチ</t>
    </rPh>
    <rPh sb="37" eb="38">
      <t>ブン</t>
    </rPh>
    <rPh sb="39" eb="41">
      <t>ニュウリョク</t>
    </rPh>
    <rPh sb="41" eb="42">
      <t>ラン</t>
    </rPh>
    <rPh sb="44" eb="46">
      <t>ヨキン</t>
    </rPh>
    <rPh sb="46" eb="47">
      <t>ナド</t>
    </rPh>
    <rPh sb="47" eb="48">
      <t>ヨウ</t>
    </rPh>
    <rPh sb="51" eb="53">
      <t>ゲンキン</t>
    </rPh>
    <rPh sb="53" eb="54">
      <t>ヨウ</t>
    </rPh>
    <rPh sb="56" eb="57">
      <t>ラン</t>
    </rPh>
    <rPh sb="70" eb="71">
      <t>ワ</t>
    </rPh>
    <rPh sb="73" eb="75">
      <t>ニュウリョク</t>
    </rPh>
    <rPh sb="83" eb="85">
      <t>ヨキン</t>
    </rPh>
    <rPh sb="85" eb="86">
      <t>トウ</t>
    </rPh>
    <rPh sb="87" eb="89">
      <t>トリヒキ</t>
    </rPh>
    <rPh sb="97" eb="99">
      <t>ヒツヨウ</t>
    </rPh>
    <phoneticPr fontId="1"/>
  </si>
  <si>
    <t>入力の仕方</t>
    <rPh sb="0" eb="2">
      <t>ニュウリョク</t>
    </rPh>
    <rPh sb="3" eb="5">
      <t>シカタ</t>
    </rPh>
    <phoneticPr fontId="1"/>
  </si>
  <si>
    <t>各月の空欄１　空欄２は、記載されていない科目を作る場合に使用します。</t>
    <rPh sb="0" eb="2">
      <t>カクツキ</t>
    </rPh>
    <rPh sb="3" eb="5">
      <t>クウラン</t>
    </rPh>
    <rPh sb="7" eb="9">
      <t>クウラン</t>
    </rPh>
    <rPh sb="12" eb="14">
      <t>キサイ</t>
    </rPh>
    <rPh sb="20" eb="22">
      <t>カモク</t>
    </rPh>
    <rPh sb="23" eb="24">
      <t>ツク</t>
    </rPh>
    <rPh sb="25" eb="27">
      <t>バアイ</t>
    </rPh>
    <rPh sb="28" eb="30">
      <t>シヨウ</t>
    </rPh>
    <phoneticPr fontId="1"/>
  </si>
  <si>
    <t>年間集計表の空欄１　空欄２　の欄で使いたい科目名を入力すると、各月の科目名が表示されます。</t>
    <rPh sb="0" eb="2">
      <t>ネンカン</t>
    </rPh>
    <rPh sb="2" eb="4">
      <t>シュウケイ</t>
    </rPh>
    <rPh sb="4" eb="5">
      <t>ヒョウ</t>
    </rPh>
    <rPh sb="6" eb="8">
      <t>クウラン</t>
    </rPh>
    <rPh sb="10" eb="12">
      <t>クウラン</t>
    </rPh>
    <rPh sb="15" eb="16">
      <t>ラン</t>
    </rPh>
    <rPh sb="17" eb="18">
      <t>ツカ</t>
    </rPh>
    <rPh sb="21" eb="23">
      <t>カモク</t>
    </rPh>
    <rPh sb="23" eb="24">
      <t>メイ</t>
    </rPh>
    <rPh sb="25" eb="27">
      <t>ニュウリョク</t>
    </rPh>
    <rPh sb="31" eb="33">
      <t>カクツキ</t>
    </rPh>
    <rPh sb="34" eb="36">
      <t>カモク</t>
    </rPh>
    <rPh sb="36" eb="37">
      <t>メイ</t>
    </rPh>
    <rPh sb="38" eb="40">
      <t>ヒョウジ</t>
    </rPh>
    <phoneticPr fontId="1"/>
  </si>
  <si>
    <t>詳しく書きたい場合は、「期末棚卸と家事消費とメモ」シートの「メモ」の欄をご自由にお使いください。</t>
    <rPh sb="0" eb="1">
      <t>クワ</t>
    </rPh>
    <rPh sb="3" eb="4">
      <t>カ</t>
    </rPh>
    <rPh sb="7" eb="9">
      <t>バアイ</t>
    </rPh>
    <rPh sb="12" eb="14">
      <t>キマツ</t>
    </rPh>
    <rPh sb="14" eb="16">
      <t>タナオロシ</t>
    </rPh>
    <rPh sb="17" eb="19">
      <t>カジ</t>
    </rPh>
    <rPh sb="19" eb="21">
      <t>ショウヒ</t>
    </rPh>
    <rPh sb="34" eb="35">
      <t>ラン</t>
    </rPh>
    <rPh sb="37" eb="39">
      <t>ジユウ</t>
    </rPh>
    <rPh sb="41" eb="42">
      <t>ツカ</t>
    </rPh>
    <phoneticPr fontId="1"/>
  </si>
  <si>
    <t>メモ欄としてご自由にお使いください</t>
    <rPh sb="2" eb="3">
      <t>ラン</t>
    </rPh>
    <rPh sb="7" eb="9">
      <t>ジユウ</t>
    </rPh>
    <rPh sb="11" eb="12">
      <t>ツカ</t>
    </rPh>
    <phoneticPr fontId="1"/>
  </si>
  <si>
    <t>2021.2月</t>
    <rPh sb="6" eb="7">
      <t>ガツ</t>
    </rPh>
    <phoneticPr fontId="1"/>
  </si>
  <si>
    <t>変更した箇所</t>
    <rPh sb="0" eb="2">
      <t>ヘンコウ</t>
    </rPh>
    <rPh sb="4" eb="6">
      <t>カショ</t>
    </rPh>
    <phoneticPr fontId="1"/>
  </si>
  <si>
    <t>バージョン</t>
    <phoneticPr fontId="1"/>
  </si>
  <si>
    <t>ホームページアップ日</t>
    <rPh sb="9" eb="10">
      <t>ヒ</t>
    </rPh>
    <phoneticPr fontId="1"/>
  </si>
  <si>
    <t>初版です</t>
    <rPh sb="0" eb="2">
      <t>ショハン</t>
    </rPh>
    <phoneticPr fontId="1"/>
  </si>
  <si>
    <t>消費税本則課税の方は、軽減税率対象の経費も、別途、税区分ごとに集計できるようにしておきます。</t>
    <phoneticPr fontId="1"/>
  </si>
  <si>
    <t>預金（銀行振込・銀行引落）・手形・当座（小切手）等の現金以外の取引は預金欄に入力し、現金での入金、出金のみを現金欄に入力してください。</t>
    <phoneticPr fontId="1"/>
  </si>
  <si>
    <r>
      <t>年用　　</t>
    </r>
    <r>
      <rPr>
        <b/>
        <sz val="26"/>
        <color theme="1"/>
        <rFont val="游ゴシック"/>
        <family val="3"/>
        <charset val="128"/>
        <scheme val="minor"/>
      </rPr>
      <t>月 別　年 間  集 計 表</t>
    </r>
    <r>
      <rPr>
        <sz val="14"/>
        <color theme="1"/>
        <rFont val="游ゴシック"/>
        <family val="3"/>
        <charset val="128"/>
        <scheme val="minor"/>
      </rPr>
      <t/>
    </r>
    <rPh sb="4" eb="5">
      <t>ガツ</t>
    </rPh>
    <rPh sb="6" eb="7">
      <t>ベツ</t>
    </rPh>
    <rPh sb="8" eb="9">
      <t>ネン</t>
    </rPh>
    <rPh sb="10" eb="11">
      <t>アイダ</t>
    </rPh>
    <rPh sb="13" eb="14">
      <t>シュウ</t>
    </rPh>
    <rPh sb="15" eb="16">
      <t>ケイ</t>
    </rPh>
    <rPh sb="17" eb="18">
      <t>ヒョウ</t>
    </rPh>
    <phoneticPr fontId="1"/>
  </si>
  <si>
    <t>印刷について</t>
    <rPh sb="0" eb="2">
      <t>インサツ</t>
    </rPh>
    <phoneticPr fontId="1"/>
  </si>
  <si>
    <t>商工会に提出する際は、エクセルデータのまま又は、印刷して提出して下さい。</t>
    <rPh sb="0" eb="3">
      <t>ショウコウカイ</t>
    </rPh>
    <rPh sb="4" eb="6">
      <t>テイシュツ</t>
    </rPh>
    <rPh sb="8" eb="9">
      <t>サイ</t>
    </rPh>
    <rPh sb="21" eb="22">
      <t>マタ</t>
    </rPh>
    <rPh sb="24" eb="26">
      <t>インサツ</t>
    </rPh>
    <rPh sb="28" eb="30">
      <t>テイシュツ</t>
    </rPh>
    <rPh sb="32" eb="33">
      <t>クダ</t>
    </rPh>
    <phoneticPr fontId="1"/>
  </si>
  <si>
    <t>印刷する際は、表紙から年間集計、売掛金、たな卸表までが、すべてA４サイズで印刷できます。白黒で結構です。</t>
    <rPh sb="0" eb="2">
      <t>インサツ</t>
    </rPh>
    <rPh sb="4" eb="5">
      <t>サイ</t>
    </rPh>
    <rPh sb="7" eb="9">
      <t>ヒョウシ</t>
    </rPh>
    <rPh sb="11" eb="13">
      <t>ネンカン</t>
    </rPh>
    <rPh sb="13" eb="15">
      <t>シュウケイ</t>
    </rPh>
    <rPh sb="16" eb="18">
      <t>ウリカケ</t>
    </rPh>
    <rPh sb="18" eb="19">
      <t>キン</t>
    </rPh>
    <rPh sb="22" eb="23">
      <t>オロシ</t>
    </rPh>
    <rPh sb="23" eb="24">
      <t>ヒョウ</t>
    </rPh>
    <rPh sb="37" eb="39">
      <t>インサツ</t>
    </rPh>
    <rPh sb="44" eb="46">
      <t>シロクロ</t>
    </rPh>
    <rPh sb="47" eb="49">
      <t>ケッコウ</t>
    </rPh>
    <phoneticPr fontId="1"/>
  </si>
  <si>
    <t>償却資産明細表（本年中購入分）</t>
    <rPh sb="0" eb="2">
      <t>ショウキャク</t>
    </rPh>
    <rPh sb="2" eb="4">
      <t>シサン</t>
    </rPh>
    <rPh sb="4" eb="7">
      <t>メイサイヒョウ</t>
    </rPh>
    <rPh sb="8" eb="9">
      <t>ホン</t>
    </rPh>
    <rPh sb="9" eb="10">
      <t>ネン</t>
    </rPh>
    <rPh sb="10" eb="11">
      <t>チュウ</t>
    </rPh>
    <rPh sb="11" eb="13">
      <t>コウニュウ</t>
    </rPh>
    <rPh sb="13" eb="14">
      <t>ブン</t>
    </rPh>
    <phoneticPr fontId="1"/>
  </si>
  <si>
    <t>合　　　計</t>
    <rPh sb="0" eb="1">
      <t>ゴウ</t>
    </rPh>
    <rPh sb="4" eb="5">
      <t>ケイ</t>
    </rPh>
    <phoneticPr fontId="1"/>
  </si>
  <si>
    <t>車両整備</t>
    <rPh sb="0" eb="2">
      <t>シャリョウ</t>
    </rPh>
    <rPh sb="2" eb="4">
      <t>セイビ</t>
    </rPh>
    <phoneticPr fontId="1"/>
  </si>
  <si>
    <t>重量税</t>
    <rPh sb="0" eb="3">
      <t>ジュウリョウゼイ</t>
    </rPh>
    <phoneticPr fontId="1"/>
  </si>
  <si>
    <t>自賠責</t>
    <rPh sb="0" eb="3">
      <t>ジバイセキ</t>
    </rPh>
    <phoneticPr fontId="1"/>
  </si>
  <si>
    <t>消費税が軽減税率対象の商品を販売されている方は、本集計に記帳する他、さらに別途、軽減税率対象の売上、仕入を区分集計します。</t>
    <rPh sb="28" eb="30">
      <t>キチョウ</t>
    </rPh>
    <rPh sb="32" eb="33">
      <t>ホカ</t>
    </rPh>
    <phoneticPr fontId="1"/>
  </si>
  <si>
    <t>借入元本</t>
    <rPh sb="0" eb="2">
      <t>カリイレ</t>
    </rPh>
    <rPh sb="2" eb="4">
      <t>ガンポン</t>
    </rPh>
    <phoneticPr fontId="1"/>
  </si>
  <si>
    <t>利息</t>
    <rPh sb="0" eb="2">
      <t>リソク</t>
    </rPh>
    <phoneticPr fontId="1"/>
  </si>
  <si>
    <t>mo仕入・2月</t>
  </si>
  <si>
    <t>mo仕入・3月</t>
  </si>
  <si>
    <t>mo仕入・4月</t>
  </si>
  <si>
    <t>mo仕入・5月</t>
  </si>
  <si>
    <t>mo仕入・6月</t>
  </si>
  <si>
    <t>mo仕入・7月</t>
  </si>
  <si>
    <t>mo仕入・8月</t>
  </si>
  <si>
    <t>mo仕入・9月</t>
  </si>
  <si>
    <t>mo仕入・10月</t>
  </si>
  <si>
    <t>mo仕入・11月</t>
  </si>
  <si>
    <t>mo仕入・12月</t>
  </si>
  <si>
    <t>仕入・1月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</si>
</sst>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40">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b/>
      <sz val="20"/>
      <color theme="1"/>
      <name val="游ゴシック"/>
      <family val="3"/>
      <charset val="128"/>
      <scheme val="minor"/>
    </font>
    <font>
      <sz val="16"/>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b/>
      <sz val="22"/>
      <color theme="1"/>
      <name val="游ゴシック"/>
      <family val="3"/>
      <charset val="128"/>
      <scheme val="minor"/>
    </font>
    <font>
      <b/>
      <sz val="26"/>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b/>
      <sz val="36"/>
      <color theme="1"/>
      <name val="游ゴシック"/>
      <family val="3"/>
      <charset val="128"/>
      <scheme val="minor"/>
    </font>
    <font>
      <u/>
      <sz val="18"/>
      <color theme="1"/>
      <name val="游ゴシック"/>
      <family val="3"/>
      <charset val="128"/>
      <scheme val="minor"/>
    </font>
    <font>
      <sz val="11.5"/>
      <color theme="1"/>
      <name val="游ゴシック"/>
      <family val="3"/>
      <charset val="128"/>
      <scheme val="minor"/>
    </font>
    <font>
      <sz val="16"/>
      <color theme="1"/>
      <name val="游ゴシック"/>
      <family val="2"/>
      <charset val="128"/>
      <scheme val="minor"/>
    </font>
    <font>
      <sz val="12"/>
      <name val="游ゴシック"/>
      <family val="3"/>
      <charset val="128"/>
      <scheme val="minor"/>
    </font>
    <font>
      <sz val="11"/>
      <name val="游ゴシック"/>
      <family val="3"/>
      <charset val="128"/>
      <scheme val="minor"/>
    </font>
    <font>
      <sz val="11.5"/>
      <color theme="1"/>
      <name val="游ゴシック"/>
      <family val="2"/>
      <charset val="128"/>
      <scheme val="minor"/>
    </font>
    <font>
      <sz val="6"/>
      <color theme="1"/>
      <name val="游ゴシック"/>
      <family val="3"/>
      <charset val="128"/>
      <scheme val="minor"/>
    </font>
    <font>
      <sz val="12"/>
      <color theme="1"/>
      <name val="みかちゃん-PB"/>
      <family val="3"/>
      <charset val="128"/>
    </font>
    <font>
      <sz val="11"/>
      <color theme="1"/>
      <name val="みかちゃん-PB"/>
      <family val="3"/>
      <charset val="128"/>
    </font>
    <font>
      <sz val="9"/>
      <color theme="1"/>
      <name val="みかちゃん-PB"/>
      <family val="3"/>
      <charset val="128"/>
    </font>
    <font>
      <sz val="11"/>
      <name val="みかちゃん-PB"/>
      <family val="3"/>
      <charset val="128"/>
    </font>
    <font>
      <sz val="9"/>
      <name val="みかちゃん-PB"/>
      <family val="3"/>
      <charset val="128"/>
    </font>
    <font>
      <sz val="10"/>
      <color theme="1"/>
      <name val="みかちゃん-PB"/>
      <family val="3"/>
      <charset val="128"/>
    </font>
    <font>
      <sz val="10"/>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sz val="11"/>
      <color theme="1"/>
      <name val="游ゴシック"/>
      <family val="2"/>
      <charset val="128"/>
      <scheme val="minor"/>
    </font>
    <font>
      <sz val="14"/>
      <color rgb="FFFF0000"/>
      <name val="游ゴシック"/>
      <family val="2"/>
      <charset val="128"/>
      <scheme val="minor"/>
    </font>
    <font>
      <sz val="20"/>
      <color theme="1"/>
      <name val="游ゴシック"/>
      <family val="2"/>
      <charset val="128"/>
      <scheme val="minor"/>
    </font>
    <font>
      <sz val="9"/>
      <color indexed="81"/>
      <name val="MS P ゴシック"/>
      <family val="3"/>
      <charset val="128"/>
    </font>
    <font>
      <b/>
      <sz val="9"/>
      <color indexed="81"/>
      <name val="MS P ゴシック"/>
      <family val="3"/>
      <charset val="128"/>
    </font>
    <font>
      <b/>
      <sz val="14"/>
      <color indexed="81"/>
      <name val="MS P ゴシック"/>
      <family val="3"/>
      <charset val="128"/>
    </font>
    <font>
      <b/>
      <sz val="18"/>
      <color indexed="81"/>
      <name val="MS P ゴシック"/>
      <family val="3"/>
      <charset val="128"/>
    </font>
    <font>
      <sz val="12"/>
      <color theme="1"/>
      <name val="HGP創英角ﾎﾟｯﾌﾟ体"/>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4.9989318521683403E-2"/>
        <bgColor indexed="64"/>
      </patternFill>
    </fill>
  </fills>
  <borders count="1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hair">
        <color indexed="64"/>
      </left>
      <right/>
      <top/>
      <bottom/>
      <diagonal/>
    </border>
    <border>
      <left/>
      <right style="hair">
        <color indexed="64"/>
      </right>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32" fillId="0" borderId="0" applyFont="0" applyFill="0" applyBorder="0" applyAlignment="0" applyProtection="0">
      <alignment vertical="center"/>
    </xf>
  </cellStyleXfs>
  <cellXfs count="551">
    <xf numFmtId="0" fontId="0" fillId="0" borderId="0" xfId="0">
      <alignment vertical="center"/>
    </xf>
    <xf numFmtId="0" fontId="0" fillId="0" borderId="0" xfId="0" applyAlignment="1">
      <alignment horizontal="center" vertical="center"/>
    </xf>
    <xf numFmtId="0" fontId="0" fillId="0" borderId="16" xfId="0" applyBorder="1">
      <alignment vertical="center"/>
    </xf>
    <xf numFmtId="0" fontId="0" fillId="0" borderId="38" xfId="0" applyBorder="1">
      <alignment vertical="center"/>
    </xf>
    <xf numFmtId="0" fontId="5" fillId="0" borderId="0" xfId="0" applyFont="1">
      <alignment vertical="center"/>
    </xf>
    <xf numFmtId="0" fontId="2" fillId="0" borderId="51" xfId="0" applyFont="1" applyBorder="1" applyAlignment="1">
      <alignment horizontal="center" vertical="center"/>
    </xf>
    <xf numFmtId="0" fontId="3" fillId="0" borderId="43" xfId="0" applyFont="1" applyBorder="1">
      <alignment vertical="center"/>
    </xf>
    <xf numFmtId="0" fontId="3" fillId="0" borderId="0" xfId="0" applyFont="1">
      <alignment vertical="center"/>
    </xf>
    <xf numFmtId="0" fontId="3" fillId="0" borderId="46" xfId="0" applyFont="1" applyBorder="1" applyAlignment="1">
      <alignment horizontal="center" vertical="center"/>
    </xf>
    <xf numFmtId="0" fontId="3" fillId="0" borderId="38" xfId="0" applyFont="1" applyBorder="1">
      <alignment vertical="center"/>
    </xf>
    <xf numFmtId="0" fontId="3" fillId="0" borderId="50" xfId="0" applyFont="1" applyBorder="1" applyAlignment="1">
      <alignment horizontal="center" vertical="center"/>
    </xf>
    <xf numFmtId="0" fontId="3" fillId="0" borderId="39" xfId="0" applyFont="1" applyBorder="1">
      <alignment vertical="center"/>
    </xf>
    <xf numFmtId="0" fontId="3" fillId="0" borderId="44" xfId="0" applyFont="1" applyBorder="1" applyAlignment="1">
      <alignment horizontal="center" vertical="center"/>
    </xf>
    <xf numFmtId="0" fontId="3" fillId="0" borderId="45" xfId="0" applyFont="1" applyBorder="1">
      <alignment vertical="center"/>
    </xf>
    <xf numFmtId="0" fontId="3" fillId="0" borderId="47" xfId="0" applyFont="1" applyBorder="1" applyAlignment="1">
      <alignment horizontal="center" vertical="center"/>
    </xf>
    <xf numFmtId="0" fontId="3" fillId="0" borderId="48" xfId="0" applyFont="1" applyBorder="1">
      <alignment vertical="center"/>
    </xf>
    <xf numFmtId="0" fontId="3" fillId="0" borderId="50" xfId="0" applyFont="1" applyBorder="1">
      <alignment vertical="center"/>
    </xf>
    <xf numFmtId="0" fontId="0" fillId="0" borderId="0" xfId="0" applyAlignment="1">
      <alignment horizontal="left" vertical="center"/>
    </xf>
    <xf numFmtId="0" fontId="0" fillId="0" borderId="29" xfId="0" applyBorder="1">
      <alignment vertical="center"/>
    </xf>
    <xf numFmtId="0" fontId="0" fillId="0" borderId="52" xfId="0" applyBorder="1">
      <alignment vertical="center"/>
    </xf>
    <xf numFmtId="0" fontId="0" fillId="0" borderId="8" xfId="0" applyBorder="1">
      <alignment vertical="center"/>
    </xf>
    <xf numFmtId="0" fontId="0" fillId="0" borderId="53" xfId="0" applyBorder="1" applyAlignment="1">
      <alignment horizontal="distributed" vertical="center"/>
    </xf>
    <xf numFmtId="0" fontId="0" fillId="0" borderId="53" xfId="0" applyBorder="1">
      <alignment vertical="center"/>
    </xf>
    <xf numFmtId="0" fontId="0" fillId="0" borderId="7" xfId="0" applyBorder="1">
      <alignment vertical="center"/>
    </xf>
    <xf numFmtId="0" fontId="0" fillId="0" borderId="9" xfId="0" applyBorder="1">
      <alignment vertical="center"/>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4" xfId="0" applyBorder="1" applyAlignment="1">
      <alignment horizontal="distributed" vertical="center"/>
    </xf>
    <xf numFmtId="0" fontId="0" fillId="0" borderId="3" xfId="0" applyBorder="1" applyAlignment="1">
      <alignment horizontal="distributed" vertical="center"/>
    </xf>
    <xf numFmtId="0" fontId="0" fillId="0" borderId="5" xfId="0" applyBorder="1" applyAlignment="1">
      <alignment horizontal="distributed" vertical="center"/>
    </xf>
    <xf numFmtId="0" fontId="4" fillId="0" borderId="0" xfId="0" applyFont="1">
      <alignment vertical="center"/>
    </xf>
    <xf numFmtId="0" fontId="0" fillId="0" borderId="24" xfId="0" applyBorder="1">
      <alignment vertical="center"/>
    </xf>
    <xf numFmtId="0" fontId="0" fillId="0" borderId="41" xfId="0" applyBorder="1">
      <alignment vertical="center"/>
    </xf>
    <xf numFmtId="0" fontId="0" fillId="0" borderId="61" xfId="0" applyBorder="1" applyAlignment="1">
      <alignment horizontal="distributed" vertical="center"/>
    </xf>
    <xf numFmtId="0" fontId="8" fillId="0" borderId="0" xfId="0" applyFont="1" applyAlignment="1">
      <alignment horizontal="right" vertical="center"/>
    </xf>
    <xf numFmtId="0" fontId="9" fillId="0" borderId="0" xfId="0" applyFont="1">
      <alignment vertical="center"/>
    </xf>
    <xf numFmtId="0" fontId="10" fillId="0" borderId="15" xfId="0" applyFont="1" applyBorder="1">
      <alignment vertical="center"/>
    </xf>
    <xf numFmtId="0" fontId="8" fillId="0" borderId="0" xfId="0" applyFont="1" applyAlignment="1">
      <alignment horizontal="right"/>
    </xf>
    <xf numFmtId="0" fontId="8" fillId="0" borderId="38" xfId="0" applyFont="1" applyBorder="1">
      <alignment vertical="center"/>
    </xf>
    <xf numFmtId="0" fontId="3" fillId="0" borderId="38" xfId="0" applyFont="1" applyBorder="1" applyAlignment="1">
      <alignment vertical="center" wrapText="1"/>
    </xf>
    <xf numFmtId="0" fontId="18" fillId="0" borderId="0" xfId="0" applyFont="1">
      <alignment vertical="center"/>
    </xf>
    <xf numFmtId="0" fontId="20" fillId="0" borderId="30" xfId="0" applyFont="1" applyBorder="1">
      <alignment vertical="center"/>
    </xf>
    <xf numFmtId="0" fontId="20" fillId="0" borderId="0" xfId="0" applyFont="1">
      <alignment vertical="center"/>
    </xf>
    <xf numFmtId="0" fontId="2" fillId="0" borderId="0" xfId="0" applyFont="1">
      <alignment vertical="center"/>
    </xf>
    <xf numFmtId="0" fontId="18" fillId="0" borderId="0" xfId="0" applyFont="1" applyAlignment="1">
      <alignment vertical="top"/>
    </xf>
    <xf numFmtId="0" fontId="0" fillId="0" borderId="112" xfId="0" applyBorder="1">
      <alignment vertical="center"/>
    </xf>
    <xf numFmtId="0" fontId="2" fillId="0" borderId="43" xfId="0" applyFont="1" applyBorder="1" applyAlignment="1">
      <alignment vertical="center" wrapText="1"/>
    </xf>
    <xf numFmtId="0" fontId="3" fillId="0" borderId="39" xfId="0" applyFont="1" applyBorder="1" applyAlignment="1">
      <alignment vertical="center" wrapText="1"/>
    </xf>
    <xf numFmtId="0" fontId="3" fillId="0" borderId="45" xfId="0" applyFont="1" applyBorder="1" applyAlignment="1">
      <alignment vertical="center" wrapText="1"/>
    </xf>
    <xf numFmtId="0" fontId="3" fillId="0" borderId="48" xfId="0" applyFont="1" applyBorder="1" applyAlignment="1">
      <alignment vertical="center" wrapText="1"/>
    </xf>
    <xf numFmtId="0" fontId="2" fillId="0" borderId="0" xfId="0" applyFont="1" applyAlignment="1">
      <alignment vertical="top"/>
    </xf>
    <xf numFmtId="0" fontId="3" fillId="0" borderId="0" xfId="0" applyFont="1" applyAlignment="1">
      <alignment horizontal="left" vertical="top"/>
    </xf>
    <xf numFmtId="0" fontId="6" fillId="0" borderId="21" xfId="0" applyFont="1" applyBorder="1" applyAlignment="1"/>
    <xf numFmtId="0" fontId="6" fillId="0" borderId="15" xfId="0" applyFont="1" applyBorder="1" applyAlignment="1">
      <alignment horizontal="distributed"/>
    </xf>
    <xf numFmtId="0" fontId="6" fillId="0" borderId="22" xfId="0" applyFont="1" applyBorder="1" applyAlignment="1"/>
    <xf numFmtId="0" fontId="6" fillId="0" borderId="12" xfId="0" applyFont="1" applyBorder="1" applyAlignment="1"/>
    <xf numFmtId="0" fontId="6" fillId="0" borderId="11" xfId="0" applyFont="1" applyBorder="1" applyAlignment="1">
      <alignment horizontal="distributed"/>
    </xf>
    <xf numFmtId="0" fontId="6" fillId="0" borderId="2" xfId="0" applyFont="1" applyBorder="1" applyAlignment="1"/>
    <xf numFmtId="0" fontId="6" fillId="0" borderId="18" xfId="0" applyFont="1" applyBorder="1" applyAlignment="1"/>
    <xf numFmtId="0" fontId="6" fillId="0" borderId="72" xfId="0" applyFont="1" applyBorder="1" applyAlignment="1"/>
    <xf numFmtId="0" fontId="6" fillId="0" borderId="61" xfId="0" applyFont="1" applyBorder="1" applyAlignment="1">
      <alignment horizontal="distributed" vertical="center"/>
    </xf>
    <xf numFmtId="0" fontId="3" fillId="0" borderId="109" xfId="0" applyFont="1" applyBorder="1" applyAlignment="1">
      <alignment horizontal="center"/>
    </xf>
    <xf numFmtId="0" fontId="3" fillId="0" borderId="108" xfId="0" applyFont="1" applyBorder="1" applyAlignment="1">
      <alignment horizontal="center" vertical="top"/>
    </xf>
    <xf numFmtId="0" fontId="6" fillId="0" borderId="0" xfId="0" applyFont="1" applyAlignment="1">
      <alignment horizontal="left" vertical="top"/>
    </xf>
    <xf numFmtId="49" fontId="24" fillId="0" borderId="75" xfId="0" applyNumberFormat="1" applyFont="1" applyBorder="1" applyAlignment="1">
      <alignment horizontal="right"/>
    </xf>
    <xf numFmtId="49" fontId="24" fillId="0" borderId="89" xfId="0" applyNumberFormat="1" applyFont="1" applyBorder="1" applyAlignment="1">
      <alignment horizontal="left"/>
    </xf>
    <xf numFmtId="49" fontId="24" fillId="0" borderId="97" xfId="0" applyNumberFormat="1" applyFont="1" applyBorder="1" applyAlignment="1">
      <alignment horizontal="left"/>
    </xf>
    <xf numFmtId="49" fontId="24" fillId="0" borderId="43" xfId="0" applyNumberFormat="1" applyFont="1" applyBorder="1" applyAlignment="1">
      <alignment horizontal="right"/>
    </xf>
    <xf numFmtId="49" fontId="24" fillId="0" borderId="93" xfId="0" applyNumberFormat="1" applyFont="1" applyBorder="1" applyAlignment="1">
      <alignment horizontal="right"/>
    </xf>
    <xf numFmtId="49" fontId="24" fillId="0" borderId="75" xfId="0" applyNumberFormat="1" applyFont="1" applyBorder="1" applyAlignment="1">
      <alignment horizontal="left"/>
    </xf>
    <xf numFmtId="49" fontId="24" fillId="0" borderId="77" xfId="0" applyNumberFormat="1" applyFont="1" applyBorder="1" applyAlignment="1">
      <alignment horizontal="right"/>
    </xf>
    <xf numFmtId="49" fontId="24" fillId="0" borderId="83" xfId="0" applyNumberFormat="1" applyFont="1" applyBorder="1" applyAlignment="1">
      <alignment horizontal="left"/>
    </xf>
    <xf numFmtId="49" fontId="24" fillId="0" borderId="76" xfId="0" applyNumberFormat="1" applyFont="1" applyBorder="1" applyAlignment="1">
      <alignment horizontal="right"/>
    </xf>
    <xf numFmtId="49" fontId="24" fillId="0" borderId="90" xfId="0" applyNumberFormat="1" applyFont="1" applyBorder="1" applyAlignment="1">
      <alignment horizontal="left"/>
    </xf>
    <xf numFmtId="49" fontId="24" fillId="0" borderId="98" xfId="0" applyNumberFormat="1" applyFont="1" applyBorder="1" applyAlignment="1">
      <alignment horizontal="left"/>
    </xf>
    <xf numFmtId="49" fontId="24" fillId="0" borderId="38" xfId="0" applyNumberFormat="1" applyFont="1" applyBorder="1" applyAlignment="1">
      <alignment horizontal="right"/>
    </xf>
    <xf numFmtId="49" fontId="24" fillId="0" borderId="94" xfId="0" applyNumberFormat="1" applyFont="1" applyBorder="1" applyAlignment="1">
      <alignment horizontal="right"/>
    </xf>
    <xf numFmtId="0" fontId="24" fillId="0" borderId="111" xfId="0" applyFont="1" applyBorder="1" applyAlignment="1"/>
    <xf numFmtId="0" fontId="24" fillId="0" borderId="110" xfId="0" applyFont="1" applyBorder="1" applyAlignment="1"/>
    <xf numFmtId="49" fontId="24" fillId="0" borderId="80" xfId="0" applyNumberFormat="1" applyFont="1" applyBorder="1" applyAlignment="1">
      <alignment horizontal="left"/>
    </xf>
    <xf numFmtId="49" fontId="24" fillId="0" borderId="76" xfId="0" applyNumberFormat="1" applyFont="1" applyBorder="1" applyAlignment="1">
      <alignment horizontal="left"/>
    </xf>
    <xf numFmtId="49" fontId="25" fillId="0" borderId="76" xfId="0" applyNumberFormat="1" applyFont="1" applyBorder="1" applyAlignment="1">
      <alignment horizontal="right" vertical="top"/>
    </xf>
    <xf numFmtId="49" fontId="25" fillId="0" borderId="98" xfId="0" applyNumberFormat="1" applyFont="1" applyBorder="1" applyAlignment="1">
      <alignment horizontal="left" vertical="top"/>
    </xf>
    <xf numFmtId="49" fontId="24" fillId="0" borderId="74" xfId="0" applyNumberFormat="1" applyFont="1" applyBorder="1" applyAlignment="1">
      <alignment horizontal="right"/>
    </xf>
    <xf numFmtId="49" fontId="24" fillId="0" borderId="103" xfId="0" applyNumberFormat="1" applyFont="1" applyBorder="1" applyAlignment="1">
      <alignment horizontal="left"/>
    </xf>
    <xf numFmtId="49" fontId="24" fillId="0" borderId="101" xfId="0" applyNumberFormat="1" applyFont="1" applyBorder="1" applyAlignment="1">
      <alignment horizontal="left"/>
    </xf>
    <xf numFmtId="49" fontId="24" fillId="0" borderId="39" xfId="0" applyNumberFormat="1" applyFont="1" applyBorder="1" applyAlignment="1">
      <alignment horizontal="right"/>
    </xf>
    <xf numFmtId="49" fontId="24" fillId="0" borderId="104" xfId="0" applyNumberFormat="1" applyFont="1" applyBorder="1" applyAlignment="1">
      <alignment horizontal="right"/>
    </xf>
    <xf numFmtId="49" fontId="24" fillId="0" borderId="74" xfId="0" applyNumberFormat="1" applyFont="1" applyBorder="1" applyAlignment="1">
      <alignment horizontal="left"/>
    </xf>
    <xf numFmtId="49" fontId="24" fillId="0" borderId="81" xfId="0" applyNumberFormat="1" applyFont="1" applyBorder="1" applyAlignment="1">
      <alignment horizontal="left"/>
    </xf>
    <xf numFmtId="49" fontId="24" fillId="0" borderId="45" xfId="0" applyNumberFormat="1" applyFont="1" applyBorder="1" applyAlignment="1">
      <alignment horizontal="right"/>
    </xf>
    <xf numFmtId="49" fontId="24" fillId="0" borderId="79" xfId="0" applyNumberFormat="1" applyFont="1" applyBorder="1" applyAlignment="1">
      <alignment horizontal="left"/>
    </xf>
    <xf numFmtId="0" fontId="24" fillId="0" borderId="84" xfId="0" applyFont="1" applyBorder="1" applyAlignment="1"/>
    <xf numFmtId="0" fontId="24" fillId="0" borderId="102" xfId="0" applyFont="1" applyBorder="1" applyAlignment="1"/>
    <xf numFmtId="49" fontId="24" fillId="0" borderId="73" xfId="0" applyNumberFormat="1" applyFont="1" applyBorder="1" applyAlignment="1">
      <alignment horizontal="right"/>
    </xf>
    <xf numFmtId="49" fontId="24" fillId="0" borderId="91" xfId="0" applyNumberFormat="1" applyFont="1" applyBorder="1" applyAlignment="1">
      <alignment horizontal="left"/>
    </xf>
    <xf numFmtId="49" fontId="24" fillId="0" borderId="99" xfId="0" applyNumberFormat="1" applyFont="1" applyBorder="1" applyAlignment="1">
      <alignment horizontal="left"/>
    </xf>
    <xf numFmtId="49" fontId="24" fillId="0" borderId="48" xfId="0" applyNumberFormat="1" applyFont="1" applyBorder="1" applyAlignment="1">
      <alignment horizontal="right"/>
    </xf>
    <xf numFmtId="49" fontId="24" fillId="0" borderId="95" xfId="0" applyNumberFormat="1" applyFont="1" applyBorder="1" applyAlignment="1">
      <alignment horizontal="right"/>
    </xf>
    <xf numFmtId="49" fontId="24" fillId="0" borderId="73" xfId="0" applyNumberFormat="1" applyFont="1" applyBorder="1" applyAlignment="1">
      <alignment horizontal="left"/>
    </xf>
    <xf numFmtId="49" fontId="24" fillId="0" borderId="82" xfId="0" applyNumberFormat="1" applyFont="1" applyBorder="1" applyAlignment="1">
      <alignment horizontal="left"/>
    </xf>
    <xf numFmtId="49" fontId="24" fillId="0" borderId="105" xfId="0" applyNumberFormat="1" applyFont="1" applyBorder="1" applyAlignment="1">
      <alignment horizontal="left"/>
    </xf>
    <xf numFmtId="49" fontId="24" fillId="0" borderId="106" xfId="0" applyNumberFormat="1" applyFont="1" applyBorder="1" applyAlignment="1">
      <alignment horizontal="left"/>
    </xf>
    <xf numFmtId="49" fontId="24" fillId="0" borderId="107" xfId="0" applyNumberFormat="1" applyFont="1" applyBorder="1" applyAlignment="1">
      <alignment horizontal="right"/>
    </xf>
    <xf numFmtId="49" fontId="24" fillId="0" borderId="77" xfId="0" applyNumberFormat="1" applyFont="1" applyBorder="1" applyAlignment="1">
      <alignment horizontal="left"/>
    </xf>
    <xf numFmtId="49" fontId="26" fillId="0" borderId="74" xfId="0" applyNumberFormat="1" applyFont="1" applyBorder="1" applyAlignment="1">
      <alignment horizontal="right" wrapText="1"/>
    </xf>
    <xf numFmtId="49" fontId="26" fillId="0" borderId="101" xfId="0" applyNumberFormat="1" applyFont="1" applyBorder="1" applyAlignment="1">
      <alignment horizontal="left" wrapText="1"/>
    </xf>
    <xf numFmtId="49" fontId="24" fillId="0" borderId="76" xfId="0" applyNumberFormat="1" applyFont="1" applyBorder="1" applyAlignment="1">
      <alignment horizontal="right" wrapText="1"/>
    </xf>
    <xf numFmtId="49" fontId="24" fillId="0" borderId="90" xfId="0" applyNumberFormat="1" applyFont="1" applyBorder="1" applyAlignment="1">
      <alignment horizontal="left" wrapText="1"/>
    </xf>
    <xf numFmtId="0" fontId="23" fillId="0" borderId="110" xfId="0" applyFont="1" applyBorder="1">
      <alignment vertical="center"/>
    </xf>
    <xf numFmtId="49" fontId="24" fillId="0" borderId="94" xfId="0" applyNumberFormat="1" applyFont="1" applyBorder="1" applyAlignment="1">
      <alignment horizontal="right" wrapText="1"/>
    </xf>
    <xf numFmtId="49" fontId="24" fillId="0" borderId="98" xfId="0" applyNumberFormat="1" applyFont="1" applyBorder="1" applyAlignment="1">
      <alignment horizontal="left" wrapText="1"/>
    </xf>
    <xf numFmtId="0" fontId="23" fillId="0" borderId="84" xfId="0" applyFont="1" applyBorder="1" applyAlignment="1"/>
    <xf numFmtId="49" fontId="23" fillId="0" borderId="110" xfId="0" applyNumberFormat="1" applyFont="1" applyBorder="1" applyAlignment="1"/>
    <xf numFmtId="49" fontId="24" fillId="0" borderId="2" xfId="0" applyNumberFormat="1" applyFont="1" applyBorder="1" applyAlignment="1">
      <alignment horizontal="left"/>
    </xf>
    <xf numFmtId="49" fontId="26" fillId="0" borderId="76" xfId="0" applyNumberFormat="1" applyFont="1" applyBorder="1" applyAlignment="1">
      <alignment horizontal="right" wrapText="1"/>
    </xf>
    <xf numFmtId="49" fontId="27" fillId="0" borderId="90" xfId="0" applyNumberFormat="1" applyFont="1" applyBorder="1" applyAlignment="1">
      <alignment horizontal="left" wrapText="1"/>
    </xf>
    <xf numFmtId="49" fontId="28" fillId="0" borderId="90" xfId="0" applyNumberFormat="1" applyFont="1" applyBorder="1" applyAlignment="1">
      <alignment horizontal="left"/>
    </xf>
    <xf numFmtId="49" fontId="26" fillId="0" borderId="78" xfId="0" applyNumberFormat="1" applyFont="1" applyBorder="1" applyAlignment="1">
      <alignment horizontal="right"/>
    </xf>
    <xf numFmtId="49" fontId="26" fillId="0" borderId="92" xfId="0" applyNumberFormat="1" applyFont="1" applyBorder="1" applyAlignment="1">
      <alignment horizontal="left"/>
    </xf>
    <xf numFmtId="49" fontId="26" fillId="0" borderId="100" xfId="0" applyNumberFormat="1" applyFont="1" applyBorder="1" applyAlignment="1">
      <alignment horizontal="left"/>
    </xf>
    <xf numFmtId="49" fontId="26" fillId="0" borderId="30" xfId="0" applyNumberFormat="1" applyFont="1" applyBorder="1" applyAlignment="1">
      <alignment horizontal="right"/>
    </xf>
    <xf numFmtId="49" fontId="26" fillId="0" borderId="96" xfId="0" applyNumberFormat="1" applyFont="1" applyBorder="1" applyAlignment="1">
      <alignment horizontal="right"/>
    </xf>
    <xf numFmtId="49" fontId="26" fillId="0" borderId="100" xfId="0" applyNumberFormat="1" applyFont="1" applyBorder="1" applyAlignment="1">
      <alignment horizontal="right"/>
    </xf>
    <xf numFmtId="49" fontId="26" fillId="0" borderId="86" xfId="0" applyNumberFormat="1" applyFont="1" applyBorder="1" applyAlignment="1">
      <alignment horizontal="left"/>
    </xf>
    <xf numFmtId="49" fontId="24" fillId="0" borderId="77" xfId="0" applyNumberFormat="1" applyFont="1" applyBorder="1" applyAlignment="1">
      <alignment horizontal="right" wrapText="1"/>
    </xf>
    <xf numFmtId="49" fontId="24" fillId="0" borderId="105" xfId="0" applyNumberFormat="1" applyFont="1" applyBorder="1" applyAlignment="1">
      <alignment horizontal="left" wrapText="1"/>
    </xf>
    <xf numFmtId="49" fontId="26" fillId="0" borderId="74" xfId="0" applyNumberFormat="1" applyFont="1" applyBorder="1" applyAlignment="1">
      <alignment horizontal="right"/>
    </xf>
    <xf numFmtId="49" fontId="26" fillId="0" borderId="101" xfId="0" applyNumberFormat="1" applyFont="1" applyBorder="1" applyAlignment="1">
      <alignment horizontal="left"/>
    </xf>
    <xf numFmtId="0" fontId="0" fillId="0" borderId="114" xfId="0" applyBorder="1" applyAlignment="1">
      <alignment horizontal="left" vertical="top"/>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19" xfId="0" applyBorder="1">
      <alignment vertical="center"/>
    </xf>
    <xf numFmtId="0" fontId="0" fillId="0" borderId="28" xfId="0" applyBorder="1">
      <alignment vertical="center"/>
    </xf>
    <xf numFmtId="0" fontId="7" fillId="0" borderId="16" xfId="0" applyFont="1" applyBorder="1">
      <alignment vertical="center"/>
    </xf>
    <xf numFmtId="0" fontId="29" fillId="0" borderId="13" xfId="0" applyFont="1" applyBorder="1">
      <alignment vertical="center"/>
    </xf>
    <xf numFmtId="0" fontId="29" fillId="0" borderId="10" xfId="0" applyFont="1" applyBorder="1" applyAlignment="1">
      <alignment horizontal="distributed" vertical="center"/>
    </xf>
    <xf numFmtId="0" fontId="29" fillId="0" borderId="4" xfId="0" applyFont="1" applyBorder="1">
      <alignment vertical="center"/>
    </xf>
    <xf numFmtId="0" fontId="29" fillId="0" borderId="3" xfId="0" applyFont="1" applyBorder="1">
      <alignment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lignment vertical="center"/>
    </xf>
    <xf numFmtId="0" fontId="29" fillId="0" borderId="19" xfId="0" applyFont="1" applyBorder="1">
      <alignment vertical="center"/>
    </xf>
    <xf numFmtId="0" fontId="29" fillId="0" borderId="0" xfId="0" applyFont="1" applyAlignment="1">
      <alignment horizontal="distributed" vertical="center"/>
    </xf>
    <xf numFmtId="0" fontId="29" fillId="0" borderId="20" xfId="0" applyFont="1" applyBorder="1">
      <alignment vertical="center"/>
    </xf>
    <xf numFmtId="0" fontId="29" fillId="0" borderId="37" xfId="0" applyFont="1" applyBorder="1">
      <alignment vertical="center"/>
    </xf>
    <xf numFmtId="0" fontId="29" fillId="0" borderId="20" xfId="0" applyFont="1" applyBorder="1" applyAlignment="1">
      <alignment horizontal="left" vertical="center"/>
    </xf>
    <xf numFmtId="0" fontId="29" fillId="0" borderId="28" xfId="0" applyFont="1" applyBorder="1" applyAlignment="1">
      <alignment horizontal="left" vertical="center"/>
    </xf>
    <xf numFmtId="0" fontId="29" fillId="0" borderId="17" xfId="0" applyFont="1" applyBorder="1">
      <alignment vertical="center"/>
    </xf>
    <xf numFmtId="0" fontId="29" fillId="0" borderId="18" xfId="0" applyFont="1" applyBorder="1">
      <alignment vertical="center"/>
    </xf>
    <xf numFmtId="0" fontId="29" fillId="0" borderId="34" xfId="0" applyFont="1" applyBorder="1">
      <alignment vertical="center"/>
    </xf>
    <xf numFmtId="0" fontId="29" fillId="0" borderId="21" xfId="0" applyFont="1" applyBorder="1">
      <alignment vertical="center"/>
    </xf>
    <xf numFmtId="0" fontId="29" fillId="0" borderId="15" xfId="0" applyFont="1" applyBorder="1" applyAlignment="1">
      <alignment horizontal="distributed" vertical="center"/>
    </xf>
    <xf numFmtId="0" fontId="29" fillId="0" borderId="22" xfId="0" applyFont="1" applyBorder="1">
      <alignment vertical="center"/>
    </xf>
    <xf numFmtId="0" fontId="29" fillId="0" borderId="33" xfId="0" applyFont="1" applyBorder="1">
      <alignment vertical="center"/>
    </xf>
    <xf numFmtId="0" fontId="29" fillId="0" borderId="22" xfId="0" applyFont="1" applyBorder="1" applyAlignment="1">
      <alignment horizontal="left" vertical="center"/>
    </xf>
    <xf numFmtId="0" fontId="29" fillId="0" borderId="40" xfId="0" applyFont="1" applyBorder="1" applyAlignment="1">
      <alignment horizontal="center" vertical="center"/>
    </xf>
    <xf numFmtId="0" fontId="29" fillId="0" borderId="12" xfId="0" applyFont="1" applyBorder="1">
      <alignment vertical="center"/>
    </xf>
    <xf numFmtId="0" fontId="29" fillId="0" borderId="11" xfId="0" applyFont="1" applyBorder="1" applyAlignment="1">
      <alignment horizontal="distributed" vertical="center"/>
    </xf>
    <xf numFmtId="0" fontId="29" fillId="0" borderId="2" xfId="0" applyFont="1" applyBorder="1">
      <alignment vertical="center"/>
    </xf>
    <xf numFmtId="0" fontId="29" fillId="0" borderId="1" xfId="0" applyFont="1" applyBorder="1">
      <alignment vertical="center"/>
    </xf>
    <xf numFmtId="0" fontId="29" fillId="0" borderId="2" xfId="0" applyFont="1" applyBorder="1" applyAlignment="1">
      <alignment horizontal="left" vertical="center"/>
    </xf>
    <xf numFmtId="0" fontId="29" fillId="0" borderId="6" xfId="0" applyFont="1" applyBorder="1" applyAlignment="1">
      <alignment horizontal="center" vertical="center"/>
    </xf>
    <xf numFmtId="0" fontId="29" fillId="0" borderId="28" xfId="0" applyFont="1" applyBorder="1" applyAlignment="1">
      <alignment horizontal="center" vertical="center"/>
    </xf>
    <xf numFmtId="0" fontId="29" fillId="0" borderId="68" xfId="0" applyFont="1" applyBorder="1">
      <alignment vertical="center"/>
    </xf>
    <xf numFmtId="0" fontId="29" fillId="0" borderId="40" xfId="0" applyFont="1" applyBorder="1">
      <alignment vertical="center"/>
    </xf>
    <xf numFmtId="0" fontId="22" fillId="0" borderId="40" xfId="0" applyFont="1" applyBorder="1">
      <alignment vertical="center"/>
    </xf>
    <xf numFmtId="0" fontId="29" fillId="0" borderId="28" xfId="0" applyFont="1" applyBorder="1">
      <alignment vertical="center"/>
    </xf>
    <xf numFmtId="0" fontId="29" fillId="0" borderId="14" xfId="0" applyFont="1" applyBorder="1">
      <alignment vertical="center"/>
    </xf>
    <xf numFmtId="0" fontId="29" fillId="0" borderId="23" xfId="0" applyFont="1" applyBorder="1">
      <alignment vertical="center"/>
    </xf>
    <xf numFmtId="0" fontId="29" fillId="0" borderId="16" xfId="0" applyFont="1" applyBorder="1">
      <alignment vertical="center"/>
    </xf>
    <xf numFmtId="0" fontId="29" fillId="0" borderId="41" xfId="0" applyFont="1" applyBorder="1">
      <alignment vertical="center"/>
    </xf>
    <xf numFmtId="0" fontId="29" fillId="0" borderId="29" xfId="0" applyFont="1" applyBorder="1">
      <alignment vertical="center"/>
    </xf>
    <xf numFmtId="0" fontId="29" fillId="0" borderId="24" xfId="0" applyFont="1" applyBorder="1">
      <alignment vertical="center"/>
    </xf>
    <xf numFmtId="0" fontId="17" fillId="0" borderId="0" xfId="0" applyFont="1">
      <alignment vertical="center"/>
    </xf>
    <xf numFmtId="0" fontId="17" fillId="0" borderId="0" xfId="0" applyFont="1" applyAlignment="1">
      <alignment horizontal="left" vertical="center"/>
    </xf>
    <xf numFmtId="0" fontId="17" fillId="0" borderId="0" xfId="0" applyFont="1" applyAlignment="1">
      <alignment horizontal="distributed" vertical="center"/>
    </xf>
    <xf numFmtId="0" fontId="17" fillId="0" borderId="0" xfId="0" applyFont="1" applyAlignment="1">
      <alignment vertical="center" wrapText="1"/>
    </xf>
    <xf numFmtId="0" fontId="21" fillId="0" borderId="0" xfId="0" applyFont="1">
      <alignment vertical="center"/>
    </xf>
    <xf numFmtId="0" fontId="0" fillId="0" borderId="11" xfId="0" applyBorder="1" applyAlignment="1">
      <alignment horizontal="distributed" vertical="center"/>
    </xf>
    <xf numFmtId="0" fontId="30" fillId="0" borderId="0" xfId="0" applyFont="1" applyAlignment="1">
      <alignment horizontal="center"/>
    </xf>
    <xf numFmtId="49" fontId="24" fillId="0" borderId="76" xfId="0" applyNumberFormat="1" applyFont="1" applyBorder="1" applyAlignment="1">
      <alignment horizontal="left" wrapText="1"/>
    </xf>
    <xf numFmtId="0" fontId="31" fillId="0" borderId="0" xfId="0" applyFont="1">
      <alignment vertical="center"/>
    </xf>
    <xf numFmtId="49" fontId="26" fillId="0" borderId="92" xfId="0" applyNumberFormat="1" applyFont="1" applyBorder="1" applyAlignment="1">
      <alignment horizontal="left" wrapText="1"/>
    </xf>
    <xf numFmtId="49" fontId="26" fillId="0" borderId="78" xfId="0" applyNumberFormat="1" applyFont="1" applyBorder="1" applyAlignment="1">
      <alignment horizontal="right" wrapText="1"/>
    </xf>
    <xf numFmtId="0" fontId="6" fillId="0" borderId="17" xfId="0" applyFont="1" applyBorder="1" applyAlignment="1"/>
    <xf numFmtId="0" fontId="6" fillId="0" borderId="14" xfId="0" applyFont="1" applyBorder="1" applyAlignment="1">
      <alignment horizontal="distributed"/>
    </xf>
    <xf numFmtId="0" fontId="6" fillId="0" borderId="117" xfId="0" applyFont="1" applyBorder="1" applyAlignment="1"/>
    <xf numFmtId="0" fontId="6" fillId="0" borderId="61" xfId="0" applyFont="1" applyBorder="1" applyAlignment="1">
      <alignment horizontal="distributed"/>
    </xf>
    <xf numFmtId="38" fontId="3" fillId="2" borderId="3" xfId="1" applyFont="1" applyFill="1" applyBorder="1" applyAlignment="1">
      <alignment horizontal="right" vertical="center"/>
    </xf>
    <xf numFmtId="38" fontId="3" fillId="0" borderId="7" xfId="1" applyFont="1" applyBorder="1" applyAlignment="1">
      <alignment horizontal="right" vertical="center"/>
    </xf>
    <xf numFmtId="38" fontId="3" fillId="0" borderId="45" xfId="1" applyFont="1" applyBorder="1" applyAlignment="1">
      <alignment horizontal="right" vertical="center"/>
    </xf>
    <xf numFmtId="38" fontId="3" fillId="0" borderId="55" xfId="1" applyFont="1" applyBorder="1" applyAlignment="1">
      <alignment horizontal="right" vertical="center"/>
    </xf>
    <xf numFmtId="38" fontId="3" fillId="0" borderId="34" xfId="1" applyFont="1" applyBorder="1" applyAlignment="1">
      <alignment horizontal="right" vertical="center"/>
    </xf>
    <xf numFmtId="38" fontId="3" fillId="2" borderId="33" xfId="1" applyFont="1" applyFill="1" applyBorder="1" applyAlignment="1">
      <alignment horizontal="right" vertical="center"/>
    </xf>
    <xf numFmtId="38" fontId="3" fillId="2" borderId="1" xfId="1" applyFont="1" applyFill="1" applyBorder="1" applyAlignment="1">
      <alignment horizontal="right" vertical="center"/>
    </xf>
    <xf numFmtId="38" fontId="3" fillId="0" borderId="1" xfId="1" applyFont="1" applyBorder="1" applyAlignment="1">
      <alignment horizontal="right" vertical="center"/>
    </xf>
    <xf numFmtId="0" fontId="0" fillId="0" borderId="117" xfId="0" applyBorder="1" applyAlignment="1">
      <alignment horizontal="distributed" vertical="center"/>
    </xf>
    <xf numFmtId="0" fontId="3" fillId="0" borderId="34" xfId="0" applyFont="1" applyBorder="1" applyAlignment="1">
      <alignment horizontal="center" vertical="center"/>
    </xf>
    <xf numFmtId="0" fontId="6" fillId="0" borderId="34" xfId="0" applyFont="1" applyBorder="1" applyAlignment="1">
      <alignment horizontal="center" vertical="center"/>
    </xf>
    <xf numFmtId="0" fontId="3" fillId="0" borderId="0" xfId="0" applyFont="1" applyAlignment="1">
      <alignment horizontal="center" vertical="center"/>
    </xf>
    <xf numFmtId="0" fontId="3" fillId="0" borderId="41" xfId="0" applyFont="1" applyBorder="1" applyAlignment="1">
      <alignment horizontal="center" vertical="center"/>
    </xf>
    <xf numFmtId="0" fontId="6" fillId="0" borderId="41" xfId="0" applyFont="1" applyBorder="1" applyAlignment="1">
      <alignment horizontal="center" vertical="center"/>
    </xf>
    <xf numFmtId="0" fontId="0" fillId="0" borderId="1" xfId="0" applyBorder="1">
      <alignment vertical="center"/>
    </xf>
    <xf numFmtId="0" fontId="14" fillId="0" borderId="2" xfId="0" applyFont="1" applyBorder="1" applyAlignment="1">
      <alignment horizontal="right" vertical="top"/>
    </xf>
    <xf numFmtId="0" fontId="0" fillId="0" borderId="12" xfId="0" applyBorder="1" applyAlignment="1">
      <alignment horizontal="distributed" vertical="center"/>
    </xf>
    <xf numFmtId="0" fontId="0" fillId="0" borderId="52" xfId="0" applyBorder="1" applyAlignment="1">
      <alignment horizontal="distributed" vertical="center"/>
    </xf>
    <xf numFmtId="0" fontId="0" fillId="0" borderId="21" xfId="0" applyBorder="1" applyAlignment="1">
      <alignment horizontal="distributed" vertical="center"/>
    </xf>
    <xf numFmtId="0" fontId="0" fillId="0" borderId="15" xfId="0" applyBorder="1" applyAlignment="1">
      <alignment horizontal="distributed" vertical="center" wrapText="1"/>
    </xf>
    <xf numFmtId="0" fontId="14" fillId="0" borderId="15" xfId="0" applyFont="1" applyBorder="1" applyAlignment="1">
      <alignment horizontal="distributed" vertical="center" wrapText="1"/>
    </xf>
    <xf numFmtId="0" fontId="11" fillId="0" borderId="0" xfId="0" applyFont="1">
      <alignment vertical="center"/>
    </xf>
    <xf numFmtId="0" fontId="30" fillId="0" borderId="0" xfId="0" applyFont="1">
      <alignment vertical="center"/>
    </xf>
    <xf numFmtId="0" fontId="33" fillId="0" borderId="0" xfId="0" applyFont="1">
      <alignment vertical="center"/>
    </xf>
    <xf numFmtId="0" fontId="34" fillId="0" borderId="0" xfId="0" applyFont="1">
      <alignment vertical="center"/>
    </xf>
    <xf numFmtId="0" fontId="0" fillId="0" borderId="53" xfId="0" applyBorder="1" applyAlignment="1">
      <alignment horizontal="right" vertical="center"/>
    </xf>
    <xf numFmtId="38" fontId="3" fillId="2" borderId="75" xfId="1" applyFont="1" applyFill="1" applyBorder="1" applyAlignment="1" applyProtection="1">
      <alignment horizontal="right" vertical="center"/>
      <protection locked="0"/>
    </xf>
    <xf numFmtId="38" fontId="3" fillId="2" borderId="3" xfId="1" applyFont="1" applyFill="1" applyBorder="1" applyAlignment="1" applyProtection="1">
      <alignment horizontal="right" vertical="center"/>
      <protection locked="0"/>
    </xf>
    <xf numFmtId="38" fontId="3" fillId="2" borderId="45" xfId="1" applyFont="1" applyFill="1" applyBorder="1" applyAlignment="1" applyProtection="1">
      <alignment horizontal="right" vertical="center"/>
      <protection locked="0"/>
    </xf>
    <xf numFmtId="38" fontId="3" fillId="2" borderId="3" xfId="1" applyFont="1" applyFill="1" applyBorder="1" applyAlignment="1" applyProtection="1">
      <alignment horizontal="left" vertical="center"/>
      <protection locked="0"/>
    </xf>
    <xf numFmtId="38" fontId="3" fillId="0" borderId="48" xfId="1" applyFont="1" applyBorder="1" applyAlignment="1" applyProtection="1">
      <alignment horizontal="right" vertical="center"/>
      <protection locked="0"/>
    </xf>
    <xf numFmtId="38" fontId="3" fillId="2" borderId="45" xfId="1" applyFont="1" applyFill="1" applyBorder="1" applyAlignment="1" applyProtection="1">
      <alignment horizontal="left" vertical="center"/>
      <protection locked="0"/>
    </xf>
    <xf numFmtId="38" fontId="3" fillId="2" borderId="77" xfId="1" applyFont="1" applyFill="1" applyBorder="1" applyAlignment="1" applyProtection="1">
      <alignment horizontal="right" vertical="center"/>
      <protection locked="0"/>
    </xf>
    <xf numFmtId="38" fontId="3" fillId="2" borderId="33" xfId="1" applyFont="1" applyFill="1" applyBorder="1" applyAlignment="1" applyProtection="1">
      <alignment horizontal="right" vertical="center"/>
      <protection locked="0"/>
    </xf>
    <xf numFmtId="38" fontId="3" fillId="2" borderId="43" xfId="1" applyFont="1" applyFill="1" applyBorder="1" applyAlignment="1" applyProtection="1">
      <alignment horizontal="right" vertical="center"/>
      <protection locked="0"/>
    </xf>
    <xf numFmtId="0" fontId="0" fillId="3" borderId="11" xfId="0" applyFill="1" applyBorder="1" applyAlignment="1" applyProtection="1">
      <alignment horizontal="right" vertical="center"/>
      <protection locked="0"/>
    </xf>
    <xf numFmtId="0" fontId="14" fillId="3" borderId="11" xfId="0" applyFont="1" applyFill="1" applyBorder="1" applyAlignment="1" applyProtection="1">
      <alignment horizontal="right" vertical="top"/>
      <protection locked="0"/>
    </xf>
    <xf numFmtId="0" fontId="0" fillId="3" borderId="19" xfId="0" applyFill="1" applyBorder="1" applyProtection="1">
      <alignment vertical="center"/>
      <protection locked="0"/>
    </xf>
    <xf numFmtId="0" fontId="0" fillId="3" borderId="0" xfId="0" applyFill="1" applyProtection="1">
      <alignment vertical="center"/>
      <protection locked="0"/>
    </xf>
    <xf numFmtId="0" fontId="0" fillId="3" borderId="28" xfId="0" applyFill="1" applyBorder="1" applyProtection="1">
      <alignment vertical="center"/>
      <protection locked="0"/>
    </xf>
    <xf numFmtId="0" fontId="0" fillId="3" borderId="23" xfId="0" applyFill="1" applyBorder="1" applyProtection="1">
      <alignment vertical="center"/>
      <protection locked="0"/>
    </xf>
    <xf numFmtId="0" fontId="0" fillId="3" borderId="16" xfId="0" applyFill="1" applyBorder="1" applyProtection="1">
      <alignment vertical="center"/>
      <protection locked="0"/>
    </xf>
    <xf numFmtId="0" fontId="0" fillId="3" borderId="29" xfId="0" applyFill="1" applyBorder="1" applyProtection="1">
      <alignment vertical="center"/>
      <protection locked="0"/>
    </xf>
    <xf numFmtId="0" fontId="6" fillId="0" borderId="2" xfId="0" applyFont="1" applyBorder="1" applyAlignment="1" applyProtection="1">
      <protection locked="0"/>
    </xf>
    <xf numFmtId="0" fontId="6" fillId="0" borderId="12" xfId="0" applyFont="1" applyBorder="1" applyAlignment="1" applyProtection="1">
      <protection locked="0"/>
    </xf>
    <xf numFmtId="0" fontId="6" fillId="0" borderId="0" xfId="0" applyFont="1" applyAlignment="1" applyProtection="1">
      <protection locked="0"/>
    </xf>
    <xf numFmtId="0" fontId="6" fillId="3" borderId="11" xfId="0" applyFont="1" applyFill="1" applyBorder="1" applyAlignment="1" applyProtection="1">
      <alignment horizontal="distributed"/>
      <protection locked="0"/>
    </xf>
    <xf numFmtId="0" fontId="6" fillId="3" borderId="2" xfId="0" applyFont="1" applyFill="1" applyBorder="1" applyAlignment="1" applyProtection="1">
      <protection locked="0"/>
    </xf>
    <xf numFmtId="0" fontId="6" fillId="3" borderId="0" xfId="0" applyFont="1" applyFill="1" applyProtection="1">
      <alignment vertical="center"/>
      <protection locked="0"/>
    </xf>
    <xf numFmtId="38" fontId="0" fillId="0" borderId="55" xfId="1" applyFont="1" applyBorder="1" applyAlignment="1"/>
    <xf numFmtId="38" fontId="0" fillId="3" borderId="56" xfId="1" applyFont="1" applyFill="1" applyBorder="1" applyAlignment="1"/>
    <xf numFmtId="38" fontId="0" fillId="0" borderId="57" xfId="1" applyFont="1" applyBorder="1" applyAlignment="1"/>
    <xf numFmtId="38" fontId="0" fillId="0" borderId="56" xfId="1" applyFont="1" applyBorder="1" applyAlignment="1"/>
    <xf numFmtId="38" fontId="0" fillId="0" borderId="54" xfId="1" applyFont="1" applyBorder="1" applyAlignment="1"/>
    <xf numFmtId="38" fontId="0" fillId="0" borderId="59" xfId="1" applyFont="1" applyBorder="1" applyAlignment="1"/>
    <xf numFmtId="38" fontId="0" fillId="0" borderId="45" xfId="1" applyFont="1" applyBorder="1" applyAlignment="1"/>
    <xf numFmtId="0" fontId="0" fillId="0" borderId="0" xfId="0" applyAlignment="1"/>
    <xf numFmtId="38" fontId="0" fillId="3" borderId="44" xfId="1" applyFont="1" applyFill="1" applyBorder="1" applyAlignment="1" applyProtection="1">
      <protection locked="0"/>
    </xf>
    <xf numFmtId="38" fontId="0" fillId="3" borderId="38" xfId="1" applyFont="1" applyFill="1" applyBorder="1" applyAlignment="1" applyProtection="1">
      <protection locked="0"/>
    </xf>
    <xf numFmtId="38" fontId="0" fillId="3" borderId="46" xfId="1" applyFont="1" applyFill="1" applyBorder="1" applyAlignment="1" applyProtection="1">
      <protection locked="0"/>
    </xf>
    <xf numFmtId="38" fontId="0" fillId="0" borderId="39" xfId="1" applyFont="1" applyBorder="1" applyAlignment="1"/>
    <xf numFmtId="38" fontId="0" fillId="3" borderId="50" xfId="1" applyFont="1" applyFill="1" applyBorder="1" applyAlignment="1" applyProtection="1">
      <protection locked="0"/>
    </xf>
    <xf numFmtId="38" fontId="0" fillId="0" borderId="30" xfId="1" applyFont="1" applyBorder="1" applyAlignment="1"/>
    <xf numFmtId="38" fontId="0" fillId="3" borderId="49" xfId="1" applyFont="1" applyFill="1" applyBorder="1" applyAlignment="1" applyProtection="1">
      <protection locked="0"/>
    </xf>
    <xf numFmtId="38" fontId="0" fillId="0" borderId="43" xfId="1" applyFont="1" applyBorder="1" applyAlignment="1"/>
    <xf numFmtId="38" fontId="0" fillId="3" borderId="51" xfId="1" applyFont="1" applyFill="1" applyBorder="1" applyAlignment="1" applyProtection="1">
      <protection locked="0"/>
    </xf>
    <xf numFmtId="38" fontId="0" fillId="0" borderId="38" xfId="1" applyFont="1" applyBorder="1" applyAlignment="1"/>
    <xf numFmtId="38" fontId="0" fillId="0" borderId="38" xfId="1" applyFont="1" applyBorder="1" applyAlignment="1" applyProtection="1">
      <protection locked="0"/>
    </xf>
    <xf numFmtId="38" fontId="0" fillId="0" borderId="60" xfId="1" applyFont="1" applyBorder="1" applyAlignment="1"/>
    <xf numFmtId="38" fontId="0" fillId="3" borderId="47" xfId="1" applyFont="1" applyFill="1" applyBorder="1" applyAlignment="1" applyProtection="1">
      <protection locked="0"/>
    </xf>
    <xf numFmtId="38" fontId="0" fillId="0" borderId="118" xfId="1" applyFont="1" applyBorder="1" applyAlignment="1"/>
    <xf numFmtId="38" fontId="0" fillId="0" borderId="49" xfId="1" applyFont="1" applyBorder="1" applyAlignment="1"/>
    <xf numFmtId="38" fontId="0" fillId="3" borderId="56" xfId="1" applyFont="1" applyFill="1" applyBorder="1" applyAlignment="1" applyProtection="1">
      <protection locked="0"/>
    </xf>
    <xf numFmtId="38" fontId="0" fillId="3" borderId="59" xfId="1" applyFont="1" applyFill="1" applyBorder="1" applyAlignment="1" applyProtection="1">
      <protection locked="0"/>
    </xf>
    <xf numFmtId="38" fontId="0" fillId="3" borderId="57" xfId="1" applyFont="1" applyFill="1" applyBorder="1" applyAlignment="1" applyProtection="1">
      <protection locked="0"/>
    </xf>
    <xf numFmtId="0" fontId="0" fillId="3" borderId="52" xfId="0" applyFill="1" applyBorder="1" applyAlignment="1" applyProtection="1">
      <alignment horizontal="distributed" vertical="center"/>
      <protection locked="0"/>
    </xf>
    <xf numFmtId="0" fontId="0" fillId="3" borderId="115" xfId="0" applyFill="1" applyBorder="1" applyProtection="1">
      <alignment vertical="center"/>
      <protection locked="0"/>
    </xf>
    <xf numFmtId="0" fontId="0" fillId="3" borderId="113" xfId="0" applyFill="1" applyBorder="1" applyProtection="1">
      <alignment vertical="center"/>
      <protection locked="0"/>
    </xf>
    <xf numFmtId="0" fontId="0" fillId="3" borderId="116" xfId="0" applyFill="1" applyBorder="1" applyProtection="1">
      <alignment vertical="center"/>
      <protection locked="0"/>
    </xf>
    <xf numFmtId="0" fontId="0" fillId="3" borderId="15" xfId="0" applyFill="1" applyBorder="1" applyAlignment="1">
      <alignment horizontal="distributed" vertical="center"/>
    </xf>
    <xf numFmtId="176" fontId="0" fillId="0" borderId="0" xfId="0" applyNumberFormat="1">
      <alignment vertical="center"/>
    </xf>
    <xf numFmtId="0" fontId="0" fillId="0" borderId="0" xfId="0" applyAlignment="1">
      <alignment vertical="center" wrapText="1"/>
    </xf>
    <xf numFmtId="0" fontId="2" fillId="3" borderId="0" xfId="0" applyFont="1" applyFill="1" applyProtection="1">
      <alignment vertical="center"/>
      <protection locked="0"/>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33" xfId="0" applyFont="1" applyBorder="1" applyAlignment="1">
      <alignment horizontal="center" vertical="center"/>
    </xf>
    <xf numFmtId="38" fontId="3" fillId="4" borderId="48" xfId="1" applyFont="1" applyFill="1" applyBorder="1" applyAlignment="1" applyProtection="1">
      <alignment horizontal="right" vertical="center"/>
      <protection locked="0"/>
    </xf>
    <xf numFmtId="38" fontId="3" fillId="4" borderId="73" xfId="1" applyFont="1" applyFill="1" applyBorder="1" applyAlignment="1" applyProtection="1">
      <alignment horizontal="right" vertical="center"/>
      <protection locked="0"/>
    </xf>
    <xf numFmtId="38" fontId="3" fillId="4" borderId="7" xfId="1" applyFont="1" applyFill="1" applyBorder="1" applyAlignment="1" applyProtection="1">
      <alignment horizontal="right" vertical="center"/>
      <protection locked="0"/>
    </xf>
    <xf numFmtId="38" fontId="3" fillId="4" borderId="48" xfId="1" applyFont="1" applyFill="1" applyBorder="1" applyAlignment="1" applyProtection="1">
      <alignment horizontal="left" vertical="center"/>
      <protection locked="0"/>
    </xf>
    <xf numFmtId="38" fontId="3" fillId="4" borderId="74" xfId="1" applyFont="1" applyFill="1" applyBorder="1" applyAlignment="1" applyProtection="1">
      <alignment horizontal="right" vertical="center"/>
      <protection locked="0"/>
    </xf>
    <xf numFmtId="38" fontId="3" fillId="4" borderId="34" xfId="1" applyFont="1" applyFill="1" applyBorder="1" applyAlignment="1" applyProtection="1">
      <alignment horizontal="right" vertical="center"/>
      <protection locked="0"/>
    </xf>
    <xf numFmtId="38" fontId="3" fillId="4" borderId="39" xfId="1" applyFont="1" applyFill="1" applyBorder="1" applyAlignment="1" applyProtection="1">
      <alignment horizontal="right" vertical="center"/>
      <protection locked="0"/>
    </xf>
    <xf numFmtId="38" fontId="3" fillId="4" borderId="39" xfId="1" applyFont="1" applyFill="1" applyBorder="1" applyAlignment="1" applyProtection="1">
      <alignment horizontal="left" vertical="center"/>
      <protection locked="0"/>
    </xf>
    <xf numFmtId="38" fontId="3" fillId="4" borderId="7" xfId="1" applyFont="1" applyFill="1" applyBorder="1" applyAlignment="1" applyProtection="1">
      <alignment horizontal="left" vertical="center"/>
      <protection locked="0"/>
    </xf>
    <xf numFmtId="0" fontId="6" fillId="0" borderId="16" xfId="0" applyFont="1" applyBorder="1" applyAlignment="1"/>
    <xf numFmtId="0" fontId="0" fillId="0" borderId="16" xfId="0" applyBorder="1" applyAlignment="1"/>
    <xf numFmtId="38" fontId="3" fillId="0" borderId="45" xfId="1" applyFont="1" applyBorder="1" applyAlignment="1" applyProtection="1">
      <alignment horizontal="right" vertical="center"/>
      <protection locked="0"/>
    </xf>
    <xf numFmtId="0" fontId="0" fillId="4" borderId="0" xfId="0" applyFill="1" applyProtection="1">
      <alignment vertical="center"/>
      <protection locked="0"/>
    </xf>
    <xf numFmtId="0" fontId="0" fillId="4" borderId="0" xfId="0" applyFill="1" applyAlignment="1" applyProtection="1">
      <alignment horizontal="left" vertical="center"/>
      <protection locked="0"/>
    </xf>
    <xf numFmtId="0" fontId="0" fillId="0" borderId="0" xfId="0" applyProtection="1">
      <alignment vertical="center"/>
      <protection locked="0"/>
    </xf>
    <xf numFmtId="0" fontId="0" fillId="0" borderId="0" xfId="0" applyAlignment="1" applyProtection="1">
      <alignment horizontal="left" vertical="center"/>
      <protection locked="0"/>
    </xf>
    <xf numFmtId="0" fontId="0" fillId="5" borderId="0" xfId="0" applyFill="1" applyAlignment="1">
      <alignment horizontal="right"/>
    </xf>
    <xf numFmtId="0" fontId="0" fillId="0" borderId="44" xfId="0" applyBorder="1" applyAlignment="1">
      <alignment horizontal="distributed" vertical="center"/>
    </xf>
    <xf numFmtId="0" fontId="0" fillId="0" borderId="45" xfId="0" applyBorder="1" applyAlignment="1">
      <alignment horizontal="distributed" vertical="center"/>
    </xf>
    <xf numFmtId="0" fontId="0" fillId="0" borderId="55" xfId="0" applyBorder="1" applyAlignment="1">
      <alignment horizontal="distributed" vertical="center"/>
    </xf>
    <xf numFmtId="0" fontId="0" fillId="0" borderId="48" xfId="0" applyBorder="1">
      <alignment vertical="center"/>
    </xf>
    <xf numFmtId="0" fontId="0" fillId="0" borderId="57" xfId="0" applyBorder="1">
      <alignment vertical="center"/>
    </xf>
    <xf numFmtId="0" fontId="13" fillId="0" borderId="27" xfId="0" applyFont="1" applyBorder="1" applyAlignment="1">
      <alignment horizontal="distributed" vertical="center"/>
    </xf>
    <xf numFmtId="0" fontId="13" fillId="0" borderId="40" xfId="0" applyFont="1" applyBorder="1" applyAlignment="1">
      <alignment horizontal="distributed" vertical="center"/>
    </xf>
    <xf numFmtId="0" fontId="0" fillId="0" borderId="0" xfId="0" applyAlignment="1">
      <alignment vertical="top" wrapText="1"/>
    </xf>
    <xf numFmtId="0" fontId="0" fillId="0" borderId="30" xfId="0" applyBorder="1">
      <alignment vertical="center"/>
    </xf>
    <xf numFmtId="0" fontId="0" fillId="0" borderId="54" xfId="0" applyBorder="1">
      <alignment vertical="center"/>
    </xf>
    <xf numFmtId="0" fontId="0" fillId="0" borderId="118" xfId="0" applyBorder="1">
      <alignment vertical="center"/>
    </xf>
    <xf numFmtId="0" fontId="0" fillId="0" borderId="119" xfId="0" applyBorder="1">
      <alignment vertical="center"/>
    </xf>
    <xf numFmtId="38" fontId="3" fillId="2" borderId="45" xfId="1" applyFont="1" applyFill="1" applyBorder="1" applyAlignment="1" applyProtection="1">
      <alignment horizontal="center" vertical="center"/>
      <protection locked="0"/>
    </xf>
    <xf numFmtId="0" fontId="0" fillId="0" borderId="12" xfId="0" applyBorder="1" applyAlignment="1">
      <alignment horizontal="left" vertical="center"/>
    </xf>
    <xf numFmtId="0" fontId="0" fillId="3" borderId="11" xfId="0" applyFill="1" applyBorder="1" applyAlignment="1" applyProtection="1">
      <alignment horizontal="left" vertical="center"/>
      <protection locked="0"/>
    </xf>
    <xf numFmtId="0" fontId="0" fillId="0" borderId="2" xfId="0"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center"/>
    </xf>
    <xf numFmtId="0" fontId="14" fillId="0" borderId="6" xfId="0" applyFont="1" applyBorder="1" applyAlignment="1">
      <alignment horizontal="left" vertical="top"/>
    </xf>
    <xf numFmtId="0" fontId="0" fillId="0" borderId="6" xfId="0" applyBorder="1" applyAlignment="1">
      <alignment horizontal="left" vertical="center"/>
    </xf>
    <xf numFmtId="0" fontId="0" fillId="0" borderId="2" xfId="0" applyBorder="1" applyAlignment="1" applyProtection="1">
      <alignment horizontal="right" vertical="center"/>
      <protection locked="0"/>
    </xf>
    <xf numFmtId="0" fontId="0" fillId="0" borderId="1" xfId="0"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0" fontId="0" fillId="3" borderId="46" xfId="0" applyFill="1" applyBorder="1" applyAlignment="1" applyProtection="1">
      <alignment horizontal="left"/>
      <protection locked="0"/>
    </xf>
    <xf numFmtId="0" fontId="0" fillId="3" borderId="38" xfId="0" applyFill="1" applyBorder="1" applyAlignment="1" applyProtection="1">
      <alignment horizontal="left"/>
      <protection locked="0"/>
    </xf>
    <xf numFmtId="0" fontId="0" fillId="3" borderId="38" xfId="0" applyFill="1" applyBorder="1" applyAlignment="1" applyProtection="1">
      <alignment horizontal="right"/>
      <protection locked="0"/>
    </xf>
    <xf numFmtId="0" fontId="0" fillId="3" borderId="56" xfId="0" applyFill="1" applyBorder="1" applyAlignment="1" applyProtection="1">
      <alignment horizontal="left"/>
      <protection locked="0"/>
    </xf>
    <xf numFmtId="0" fontId="0" fillId="3" borderId="50" xfId="0" applyFill="1" applyBorder="1" applyAlignment="1" applyProtection="1">
      <alignment horizontal="left"/>
      <protection locked="0"/>
    </xf>
    <xf numFmtId="0" fontId="0" fillId="3" borderId="39" xfId="0" applyFill="1" applyBorder="1" applyAlignment="1" applyProtection="1">
      <alignment horizontal="left"/>
      <protection locked="0"/>
    </xf>
    <xf numFmtId="0" fontId="0" fillId="3" borderId="39" xfId="0" applyFill="1" applyBorder="1" applyAlignment="1" applyProtection="1">
      <alignment horizontal="right"/>
      <protection locked="0"/>
    </xf>
    <xf numFmtId="0" fontId="0" fillId="3" borderId="60" xfId="0" applyFill="1" applyBorder="1" applyAlignment="1" applyProtection="1">
      <alignment horizontal="left"/>
      <protection locked="0"/>
    </xf>
    <xf numFmtId="0" fontId="0" fillId="3" borderId="47" xfId="0" applyFill="1" applyBorder="1" applyAlignment="1" applyProtection="1">
      <alignment horizontal="left"/>
      <protection locked="0"/>
    </xf>
    <xf numFmtId="0" fontId="0" fillId="3" borderId="48" xfId="0" applyFill="1" applyBorder="1" applyAlignment="1" applyProtection="1">
      <alignment horizontal="left"/>
      <protection locked="0"/>
    </xf>
    <xf numFmtId="0" fontId="0" fillId="3" borderId="48" xfId="0" applyFill="1" applyBorder="1" applyAlignment="1" applyProtection="1">
      <alignment horizontal="right"/>
      <protection locked="0"/>
    </xf>
    <xf numFmtId="0" fontId="0" fillId="3" borderId="57" xfId="0" applyFill="1" applyBorder="1" applyAlignment="1" applyProtection="1">
      <alignment horizontal="left"/>
      <protection locked="0"/>
    </xf>
    <xf numFmtId="0" fontId="0" fillId="3" borderId="1"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3" borderId="34" xfId="0" applyFill="1" applyBorder="1" applyAlignment="1" applyProtection="1">
      <alignment horizontal="left"/>
      <protection locked="0"/>
    </xf>
    <xf numFmtId="0" fontId="0" fillId="3" borderId="68" xfId="0" applyFill="1" applyBorder="1" applyAlignment="1" applyProtection="1">
      <alignment horizontal="left"/>
      <protection locked="0"/>
    </xf>
    <xf numFmtId="38" fontId="3" fillId="4" borderId="48" xfId="1" applyFont="1" applyFill="1" applyBorder="1" applyAlignment="1" applyProtection="1">
      <alignment horizontal="center" vertical="center"/>
      <protection locked="0"/>
    </xf>
    <xf numFmtId="0" fontId="29" fillId="0" borderId="68" xfId="0" applyFont="1" applyBorder="1" applyAlignment="1">
      <alignment vertical="top" wrapText="1"/>
    </xf>
    <xf numFmtId="0" fontId="29" fillId="0" borderId="40" xfId="0" applyFont="1" applyBorder="1" applyAlignment="1">
      <alignment vertical="top" wrapText="1"/>
    </xf>
    <xf numFmtId="0" fontId="7" fillId="0" borderId="16" xfId="0" applyFont="1" applyBorder="1" applyAlignment="1">
      <alignment horizontal="left" vertical="center"/>
    </xf>
    <xf numFmtId="0" fontId="29" fillId="0" borderId="14" xfId="0" applyFont="1" applyBorder="1" applyAlignment="1">
      <alignment horizontal="distributed" vertical="center"/>
    </xf>
    <xf numFmtId="0" fontId="29" fillId="0" borderId="0" xfId="0" applyFont="1" applyAlignment="1">
      <alignment horizontal="distributed" vertical="center"/>
    </xf>
    <xf numFmtId="0" fontId="29" fillId="0" borderId="15" xfId="0" applyFont="1" applyBorder="1" applyAlignment="1">
      <alignment horizontal="distributed" vertical="center"/>
    </xf>
    <xf numFmtId="0" fontId="29" fillId="0" borderId="18" xfId="0" applyFont="1" applyBorder="1" applyAlignment="1">
      <alignment horizontal="left" vertical="top" wrapText="1"/>
    </xf>
    <xf numFmtId="0" fontId="29" fillId="0" borderId="20" xfId="0" applyFont="1" applyBorder="1" applyAlignment="1">
      <alignment horizontal="left" vertical="top" wrapText="1"/>
    </xf>
    <xf numFmtId="0" fontId="29" fillId="0" borderId="22" xfId="0" applyFont="1" applyBorder="1" applyAlignment="1">
      <alignment horizontal="left" vertical="top" wrapText="1"/>
    </xf>
    <xf numFmtId="0" fontId="29" fillId="0" borderId="68" xfId="0" applyFont="1" applyBorder="1" applyAlignment="1">
      <alignment horizontal="left" vertical="top" wrapText="1"/>
    </xf>
    <xf numFmtId="0" fontId="29" fillId="0" borderId="28" xfId="0" applyFont="1" applyBorder="1" applyAlignment="1">
      <alignment horizontal="left" vertical="top" wrapText="1"/>
    </xf>
    <xf numFmtId="0" fontId="29" fillId="0" borderId="40" xfId="0" applyFont="1" applyBorder="1" applyAlignment="1">
      <alignment horizontal="left" vertical="top" wrapText="1"/>
    </xf>
    <xf numFmtId="0" fontId="0" fillId="0" borderId="15" xfId="0" applyBorder="1" applyAlignment="1">
      <alignment horizontal="distributed" vertical="center"/>
    </xf>
    <xf numFmtId="0" fontId="29" fillId="0" borderId="18" xfId="0" applyFont="1" applyBorder="1" applyAlignment="1">
      <alignment horizontal="left" vertical="center" wrapText="1"/>
    </xf>
    <xf numFmtId="0" fontId="29" fillId="0" borderId="22" xfId="0" applyFont="1" applyBorder="1" applyAlignment="1">
      <alignment horizontal="left" vertical="center" wrapText="1"/>
    </xf>
    <xf numFmtId="0" fontId="29" fillId="0" borderId="24" xfId="0" applyFont="1" applyBorder="1" applyAlignment="1">
      <alignment horizontal="left" vertical="top" wrapText="1"/>
    </xf>
    <xf numFmtId="0" fontId="29" fillId="0" borderId="16" xfId="0" applyFont="1" applyBorder="1" applyAlignment="1">
      <alignment horizontal="distributed" vertical="center"/>
    </xf>
    <xf numFmtId="0" fontId="29" fillId="0" borderId="29" xfId="0" applyFont="1" applyBorder="1" applyAlignment="1">
      <alignment horizontal="left" vertical="top" wrapText="1"/>
    </xf>
    <xf numFmtId="0" fontId="29" fillId="0" borderId="0" xfId="0" applyFont="1" applyAlignment="1">
      <alignment horizontal="left" vertical="top" wrapText="1"/>
    </xf>
    <xf numFmtId="0" fontId="17" fillId="0" borderId="0" xfId="0" applyFont="1" applyAlignment="1">
      <alignment horizontal="distributed" vertical="center"/>
    </xf>
    <xf numFmtId="0" fontId="21" fillId="0" borderId="0" xfId="0" applyFont="1" applyAlignment="1">
      <alignment horizontal="distributed" vertical="center"/>
    </xf>
    <xf numFmtId="0" fontId="8" fillId="0" borderId="31" xfId="0" applyFont="1" applyBorder="1" applyAlignment="1">
      <alignment horizontal="center" vertical="center"/>
    </xf>
    <xf numFmtId="0" fontId="8" fillId="0" borderId="26" xfId="0" applyFont="1" applyBorder="1" applyAlignment="1">
      <alignment horizontal="center" vertical="center"/>
    </xf>
    <xf numFmtId="0" fontId="8" fillId="0" borderId="32" xfId="0" applyFont="1" applyBorder="1" applyAlignment="1">
      <alignment horizontal="center" vertical="center"/>
    </xf>
    <xf numFmtId="0" fontId="8" fillId="0" borderId="37" xfId="0" applyFont="1" applyBorder="1" applyAlignment="1">
      <alignment horizontal="center" vertical="center"/>
    </xf>
    <xf numFmtId="0" fontId="8" fillId="0" borderId="0" xfId="0" applyFont="1" applyAlignment="1">
      <alignment horizontal="center" vertical="center"/>
    </xf>
    <xf numFmtId="0" fontId="8" fillId="0" borderId="20" xfId="0" applyFont="1" applyBorder="1" applyAlignment="1">
      <alignment horizontal="center" vertical="center"/>
    </xf>
    <xf numFmtId="0" fontId="8" fillId="0" borderId="33" xfId="0" applyFont="1" applyBorder="1" applyAlignment="1">
      <alignment horizontal="center" vertical="center"/>
    </xf>
    <xf numFmtId="0" fontId="8" fillId="0" borderId="15" xfId="0" applyFont="1" applyBorder="1" applyAlignment="1">
      <alignment horizontal="center" vertical="center"/>
    </xf>
    <xf numFmtId="0" fontId="8" fillId="0" borderId="22" xfId="0" applyFont="1" applyBorder="1" applyAlignment="1">
      <alignment horizontal="center" vertical="center"/>
    </xf>
    <xf numFmtId="0" fontId="3" fillId="0" borderId="34" xfId="0" applyFont="1" applyBorder="1" applyAlignment="1">
      <alignment horizontal="center" vertical="center"/>
    </xf>
    <xf numFmtId="0" fontId="3" fillId="0" borderId="18" xfId="0" applyFont="1" applyBorder="1" applyAlignment="1">
      <alignment horizontal="center" vertical="center"/>
    </xf>
    <xf numFmtId="0" fontId="3" fillId="0" borderId="37" xfId="0" applyFont="1" applyBorder="1" applyAlignment="1">
      <alignment horizontal="center" vertical="center"/>
    </xf>
    <xf numFmtId="0" fontId="3" fillId="0" borderId="20" xfId="0" applyFont="1" applyBorder="1" applyAlignment="1">
      <alignment horizontal="center" vertical="center"/>
    </xf>
    <xf numFmtId="0" fontId="3" fillId="0" borderId="41" xfId="0" applyFont="1" applyBorder="1" applyAlignment="1">
      <alignment horizontal="center" vertical="center"/>
    </xf>
    <xf numFmtId="0" fontId="3" fillId="0" borderId="24" xfId="0" applyFont="1" applyBorder="1" applyAlignment="1">
      <alignment horizontal="center" vertical="center"/>
    </xf>
    <xf numFmtId="0" fontId="3" fillId="0" borderId="41" xfId="0" applyFont="1" applyBorder="1" applyAlignment="1">
      <alignment horizontal="distributed" vertical="center"/>
    </xf>
    <xf numFmtId="0" fontId="3" fillId="0" borderId="16" xfId="0" applyFont="1" applyBorder="1" applyAlignment="1">
      <alignment horizontal="distributed" vertical="center"/>
    </xf>
    <xf numFmtId="0" fontId="19" fillId="0" borderId="49" xfId="0" applyFont="1" applyBorder="1" applyAlignment="1">
      <alignment horizontal="center" vertical="center"/>
    </xf>
    <xf numFmtId="0" fontId="19" fillId="0" borderId="30" xfId="0" applyFont="1" applyBorder="1" applyAlignment="1">
      <alignment horizontal="center" vertical="center"/>
    </xf>
    <xf numFmtId="0" fontId="3" fillId="0" borderId="37" xfId="0" applyFont="1" applyBorder="1" applyAlignment="1">
      <alignment horizontal="distributed" vertical="center"/>
    </xf>
    <xf numFmtId="0" fontId="3" fillId="0" borderId="20" xfId="0" applyFont="1" applyBorder="1" applyAlignment="1">
      <alignment horizontal="distributed" vertical="center"/>
    </xf>
    <xf numFmtId="0" fontId="3" fillId="0" borderId="24" xfId="0" applyFont="1" applyBorder="1" applyAlignment="1">
      <alignment horizontal="distributed"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36" xfId="0" applyFont="1" applyBorder="1" applyAlignment="1">
      <alignment horizontal="right" vertical="center"/>
    </xf>
    <xf numFmtId="0" fontId="8" fillId="0" borderId="35" xfId="0" applyFont="1" applyBorder="1" applyAlignment="1">
      <alignment horizontal="right" vertical="center"/>
    </xf>
    <xf numFmtId="0" fontId="8" fillId="0" borderId="43" xfId="0" applyFont="1" applyBorder="1" applyAlignment="1">
      <alignment horizontal="right" vertical="center"/>
    </xf>
    <xf numFmtId="0" fontId="4" fillId="0" borderId="36"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8" fillId="0" borderId="36" xfId="0" applyFont="1" applyBorder="1" applyAlignment="1">
      <alignment horizontal="center" vertical="center"/>
    </xf>
    <xf numFmtId="0" fontId="8" fillId="0" borderId="35" xfId="0" applyFont="1" applyBorder="1" applyAlignment="1">
      <alignment horizontal="center" vertical="center"/>
    </xf>
    <xf numFmtId="0" fontId="8" fillId="0" borderId="43" xfId="0" applyFont="1" applyBorder="1" applyAlignment="1">
      <alignment horizontal="center" vertical="center"/>
    </xf>
    <xf numFmtId="0" fontId="8" fillId="0" borderId="39" xfId="0" applyFont="1" applyBorder="1" applyAlignment="1">
      <alignment horizontal="center" vertical="center"/>
    </xf>
    <xf numFmtId="0" fontId="8" fillId="0" borderId="42" xfId="0" applyFont="1" applyBorder="1" applyAlignment="1">
      <alignment horizontal="center" vertical="center"/>
    </xf>
    <xf numFmtId="0" fontId="3" fillId="0" borderId="39" xfId="0" applyFont="1" applyBorder="1" applyAlignment="1">
      <alignment horizontal="center" vertical="center"/>
    </xf>
    <xf numFmtId="0" fontId="3" fillId="0" borderId="35" xfId="0" applyFont="1" applyBorder="1" applyAlignment="1">
      <alignment horizontal="center" vertical="center"/>
    </xf>
    <xf numFmtId="0" fontId="3" fillId="0" borderId="42" xfId="0" applyFont="1" applyBorder="1" applyAlignment="1">
      <alignment horizontal="center" vertical="center"/>
    </xf>
    <xf numFmtId="0" fontId="3" fillId="0" borderId="0" xfId="0" applyFont="1" applyAlignment="1">
      <alignment horizontal="distributed" vertical="center"/>
    </xf>
    <xf numFmtId="0" fontId="3" fillId="0" borderId="34" xfId="0" applyFont="1" applyBorder="1" applyAlignment="1">
      <alignment horizontal="distributed" vertical="center"/>
    </xf>
    <xf numFmtId="0" fontId="3" fillId="0" borderId="18" xfId="0" applyFont="1" applyBorder="1" applyAlignment="1">
      <alignment horizontal="distributed"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3" fillId="0" borderId="14" xfId="0" applyFont="1" applyBorder="1" applyAlignment="1">
      <alignment horizontal="distributed" vertical="center"/>
    </xf>
    <xf numFmtId="0" fontId="24" fillId="0" borderId="81" xfId="0" applyFont="1" applyBorder="1" applyAlignment="1">
      <alignment horizontal="left"/>
    </xf>
    <xf numFmtId="0" fontId="24" fillId="0" borderId="85" xfId="0" applyFont="1" applyBorder="1" applyAlignment="1">
      <alignment horizontal="left"/>
    </xf>
    <xf numFmtId="0" fontId="24" fillId="0" borderId="88" xfId="0" applyFont="1" applyBorder="1" applyAlignment="1">
      <alignment horizontal="left"/>
    </xf>
    <xf numFmtId="0" fontId="6" fillId="0" borderId="37" xfId="0" applyFont="1" applyBorder="1" applyAlignment="1">
      <alignment horizontal="distributed" vertical="center"/>
    </xf>
    <xf numFmtId="0" fontId="6" fillId="0" borderId="20" xfId="0" applyFont="1" applyBorder="1" applyAlignment="1">
      <alignment horizontal="distributed" vertical="center"/>
    </xf>
    <xf numFmtId="0" fontId="6" fillId="0" borderId="41" xfId="0" applyFont="1" applyBorder="1" applyAlignment="1">
      <alignment horizontal="distributed" vertical="center"/>
    </xf>
    <xf numFmtId="0" fontId="6" fillId="0" borderId="24" xfId="0" applyFont="1" applyBorder="1" applyAlignment="1">
      <alignment horizontal="distributed" vertical="center"/>
    </xf>
    <xf numFmtId="0" fontId="23" fillId="0" borderId="34" xfId="0" applyFont="1" applyBorder="1" applyAlignment="1">
      <alignment horizontal="distributed" vertical="center"/>
    </xf>
    <xf numFmtId="0" fontId="23" fillId="0" borderId="18" xfId="0" applyFont="1" applyBorder="1" applyAlignment="1">
      <alignment horizontal="distributed" vertical="center"/>
    </xf>
    <xf numFmtId="0" fontId="23" fillId="0" borderId="37" xfId="0" applyFont="1" applyBorder="1" applyAlignment="1">
      <alignment horizontal="distributed" vertical="center"/>
    </xf>
    <xf numFmtId="0" fontId="23" fillId="0" borderId="20" xfId="0" applyFont="1" applyBorder="1" applyAlignment="1">
      <alignment horizontal="distributed" vertical="center"/>
    </xf>
    <xf numFmtId="0" fontId="23" fillId="0" borderId="41" xfId="0" applyFont="1" applyBorder="1" applyAlignment="1">
      <alignment horizontal="distributed" vertical="center"/>
    </xf>
    <xf numFmtId="0" fontId="23" fillId="0" borderId="24" xfId="0" applyFont="1" applyBorder="1" applyAlignment="1">
      <alignment horizontal="distributed" vertical="center"/>
    </xf>
    <xf numFmtId="0" fontId="6" fillId="0" borderId="34" xfId="0" applyFont="1" applyBorder="1" applyAlignment="1">
      <alignment horizontal="distributed" vertical="center"/>
    </xf>
    <xf numFmtId="0" fontId="6" fillId="0" borderId="18" xfId="0" applyFont="1" applyBorder="1" applyAlignment="1">
      <alignment horizontal="distributed" vertical="center"/>
    </xf>
    <xf numFmtId="0" fontId="6" fillId="0" borderId="41" xfId="0" applyFont="1" applyBorder="1" applyAlignment="1">
      <alignment horizontal="center" vertical="center"/>
    </xf>
    <xf numFmtId="0" fontId="6" fillId="0" borderId="24" xfId="0" applyFont="1" applyBorder="1" applyAlignment="1">
      <alignment horizontal="center" vertical="center"/>
    </xf>
    <xf numFmtId="0" fontId="3" fillId="0" borderId="39" xfId="0" applyFont="1" applyBorder="1" applyAlignment="1">
      <alignment horizontal="distributed" vertical="center"/>
    </xf>
    <xf numFmtId="0" fontId="3" fillId="0" borderId="35" xfId="0" applyFont="1" applyBorder="1" applyAlignment="1">
      <alignment horizontal="distributed" vertical="center"/>
    </xf>
    <xf numFmtId="0" fontId="3" fillId="0" borderId="42" xfId="0" applyFont="1" applyBorder="1" applyAlignment="1">
      <alignment horizontal="distributed" vertical="center"/>
    </xf>
    <xf numFmtId="0" fontId="24" fillId="0" borderId="74" xfId="0" applyFont="1" applyBorder="1" applyAlignment="1">
      <alignment horizontal="right"/>
    </xf>
    <xf numFmtId="0" fontId="24" fillId="0" borderId="84" xfId="0" applyFont="1" applyBorder="1" applyAlignment="1">
      <alignment horizontal="right"/>
    </xf>
    <xf numFmtId="0" fontId="24" fillId="0" borderId="87" xfId="0" applyFont="1" applyBorder="1" applyAlignment="1">
      <alignment horizontal="right"/>
    </xf>
    <xf numFmtId="0" fontId="0" fillId="0" borderId="36" xfId="0" applyBorder="1" applyAlignment="1">
      <alignment horizontal="center" vertical="center"/>
    </xf>
    <xf numFmtId="0" fontId="0" fillId="0" borderId="43" xfId="0" applyBorder="1" applyAlignment="1">
      <alignment horizontal="center" vertical="center"/>
    </xf>
    <xf numFmtId="0" fontId="6" fillId="0" borderId="37" xfId="0" applyFont="1" applyBorder="1" applyAlignment="1">
      <alignment horizontal="center" vertical="center"/>
    </xf>
    <xf numFmtId="0" fontId="6" fillId="0" borderId="20" xfId="0" applyFont="1" applyBorder="1" applyAlignment="1">
      <alignment horizontal="center" vertical="center"/>
    </xf>
    <xf numFmtId="0" fontId="23" fillId="0" borderId="34" xfId="0" applyFont="1" applyBorder="1" applyAlignment="1">
      <alignment horizontal="center" vertical="center"/>
    </xf>
    <xf numFmtId="0" fontId="23" fillId="0" borderId="18" xfId="0" applyFont="1" applyBorder="1" applyAlignment="1">
      <alignment horizontal="center" vertical="center"/>
    </xf>
    <xf numFmtId="0" fontId="23" fillId="0" borderId="37" xfId="0" applyFont="1" applyBorder="1" applyAlignment="1">
      <alignment horizontal="center" vertical="center"/>
    </xf>
    <xf numFmtId="0" fontId="23" fillId="0" borderId="20" xfId="0" applyFont="1" applyBorder="1" applyAlignment="1">
      <alignment horizontal="center" vertical="center"/>
    </xf>
    <xf numFmtId="0" fontId="23" fillId="0" borderId="41" xfId="0" applyFont="1" applyBorder="1" applyAlignment="1">
      <alignment horizontal="center" vertical="center"/>
    </xf>
    <xf numFmtId="0" fontId="23" fillId="0" borderId="24" xfId="0" applyFont="1"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distributed" vertical="center"/>
    </xf>
    <xf numFmtId="0" fontId="0" fillId="0" borderId="27" xfId="0" applyBorder="1" applyAlignment="1">
      <alignment horizontal="distributed" vertical="center"/>
    </xf>
    <xf numFmtId="0" fontId="0" fillId="0" borderId="33" xfId="0" applyBorder="1" applyAlignment="1">
      <alignment horizontal="distributed" vertical="center"/>
    </xf>
    <xf numFmtId="0" fontId="0" fillId="0" borderId="40" xfId="0" applyBorder="1" applyAlignment="1">
      <alignment horizontal="distributed" vertical="center"/>
    </xf>
    <xf numFmtId="0" fontId="0" fillId="0" borderId="34" xfId="0" applyBorder="1" applyAlignment="1">
      <alignment horizontal="distributed" vertical="center"/>
    </xf>
    <xf numFmtId="0" fontId="0" fillId="0" borderId="68" xfId="0" applyBorder="1" applyAlignment="1">
      <alignment horizontal="distributed" vertical="center"/>
    </xf>
    <xf numFmtId="0" fontId="0" fillId="0" borderId="37" xfId="0" applyBorder="1" applyAlignment="1">
      <alignment horizontal="distributed" vertical="center"/>
    </xf>
    <xf numFmtId="0" fontId="0" fillId="0" borderId="28" xfId="0" applyBorder="1" applyAlignment="1">
      <alignment horizontal="distributed" vertical="center"/>
    </xf>
    <xf numFmtId="0" fontId="6" fillId="0" borderId="34" xfId="0" applyFont="1" applyBorder="1" applyAlignment="1">
      <alignment horizontal="center" vertical="center"/>
    </xf>
    <xf numFmtId="0" fontId="0" fillId="0" borderId="109" xfId="0" applyBorder="1" applyAlignment="1">
      <alignment horizontal="distributed" vertical="center"/>
    </xf>
    <xf numFmtId="0" fontId="0" fillId="0" borderId="59" xfId="0" applyBorder="1" applyAlignment="1">
      <alignment horizontal="distributed" vertical="center"/>
    </xf>
    <xf numFmtId="0" fontId="0" fillId="0" borderId="60" xfId="0" applyBorder="1" applyAlignment="1">
      <alignment horizontal="distributed" vertical="center"/>
    </xf>
    <xf numFmtId="0" fontId="0" fillId="0" borderId="58" xfId="0" applyBorder="1" applyAlignment="1">
      <alignment horizontal="distributed" vertical="center"/>
    </xf>
    <xf numFmtId="0" fontId="3" fillId="0" borderId="70" xfId="0" applyFont="1" applyBorder="1" applyAlignment="1">
      <alignment horizontal="center" vertical="center"/>
    </xf>
    <xf numFmtId="0" fontId="3" fillId="0" borderId="51" xfId="0" applyFont="1" applyBorder="1" applyAlignment="1">
      <alignment horizontal="center" vertical="center"/>
    </xf>
    <xf numFmtId="0" fontId="2" fillId="3" borderId="36" xfId="0" applyFont="1" applyFill="1" applyBorder="1" applyAlignment="1" applyProtection="1">
      <alignment horizontal="left" vertical="center" wrapText="1"/>
      <protection locked="0"/>
    </xf>
    <xf numFmtId="0" fontId="2" fillId="3" borderId="42" xfId="0" applyFont="1" applyFill="1" applyBorder="1" applyAlignment="1" applyProtection="1">
      <alignment horizontal="left" vertical="center" wrapText="1"/>
      <protection locked="0"/>
    </xf>
    <xf numFmtId="38" fontId="3" fillId="0" borderId="109" xfId="1" applyFont="1" applyBorder="1" applyAlignment="1">
      <alignment horizontal="right" vertical="center"/>
    </xf>
    <xf numFmtId="38" fontId="3" fillId="0" borderId="108" xfId="1" applyFont="1" applyBorder="1" applyAlignment="1">
      <alignment horizontal="right" vertical="center"/>
    </xf>
    <xf numFmtId="0" fontId="2" fillId="0" borderId="69" xfId="0" applyFont="1" applyBorder="1" applyAlignment="1">
      <alignment horizontal="center" vertical="center"/>
    </xf>
    <xf numFmtId="0" fontId="2" fillId="0" borderId="51" xfId="0" applyFont="1" applyBorder="1" applyAlignment="1">
      <alignment horizontal="center" vertical="center"/>
    </xf>
    <xf numFmtId="38" fontId="3" fillId="4" borderId="60" xfId="1" applyFont="1" applyFill="1" applyBorder="1" applyAlignment="1" applyProtection="1">
      <alignment horizontal="right" vertical="center"/>
      <protection locked="0"/>
    </xf>
    <xf numFmtId="38" fontId="3" fillId="4" borderId="58" xfId="1" applyFont="1" applyFill="1" applyBorder="1" applyAlignment="1" applyProtection="1">
      <alignment horizontal="right" vertical="center"/>
      <protection locked="0"/>
    </xf>
    <xf numFmtId="0" fontId="2" fillId="0" borderId="71" xfId="0" applyFont="1" applyBorder="1" applyAlignment="1">
      <alignment horizontal="center" vertical="center"/>
    </xf>
    <xf numFmtId="38" fontId="3" fillId="0" borderId="60" xfId="1" applyFont="1" applyBorder="1" applyAlignment="1">
      <alignment horizontal="right" vertical="center"/>
    </xf>
    <xf numFmtId="0" fontId="39" fillId="0" borderId="39" xfId="0" applyFont="1" applyBorder="1" applyAlignment="1">
      <alignment horizontal="center" vertical="center"/>
    </xf>
    <xf numFmtId="0" fontId="39" fillId="0" borderId="35" xfId="0" applyFont="1" applyBorder="1" applyAlignment="1">
      <alignment horizontal="center" vertical="center"/>
    </xf>
    <xf numFmtId="0" fontId="39" fillId="0" borderId="42" xfId="0" applyFont="1" applyBorder="1" applyAlignment="1">
      <alignment horizontal="center" vertical="center"/>
    </xf>
    <xf numFmtId="0" fontId="3" fillId="0" borderId="50" xfId="0" applyFont="1" applyBorder="1" applyAlignment="1">
      <alignment horizontal="center" vertical="center"/>
    </xf>
    <xf numFmtId="38" fontId="3" fillId="0" borderId="58" xfId="1" applyFont="1" applyBorder="1" applyAlignment="1">
      <alignment horizontal="right" vertical="center"/>
    </xf>
    <xf numFmtId="0" fontId="3" fillId="0" borderId="69" xfId="0" applyFont="1" applyBorder="1" applyAlignment="1">
      <alignment horizontal="center" vertical="center"/>
    </xf>
    <xf numFmtId="0" fontId="3" fillId="0" borderId="71" xfId="0" applyFont="1" applyBorder="1" applyAlignment="1">
      <alignment horizontal="center" vertical="center"/>
    </xf>
    <xf numFmtId="0" fontId="2" fillId="0" borderId="70"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left" vertical="center"/>
    </xf>
    <xf numFmtId="0" fontId="15" fillId="0" borderId="0" xfId="0" applyFont="1" applyAlignment="1">
      <alignment horizontal="center" vertical="center"/>
    </xf>
    <xf numFmtId="0" fontId="16" fillId="0" borderId="0" xfId="0" applyFont="1" applyAlignment="1">
      <alignment horizontal="center" vertical="center"/>
    </xf>
    <xf numFmtId="0" fontId="11" fillId="0" borderId="0" xfId="0" applyFont="1" applyAlignment="1" applyProtection="1">
      <alignment horizontal="center" vertical="center"/>
      <protection locked="0"/>
    </xf>
    <xf numFmtId="0" fontId="10" fillId="3" borderId="11" xfId="0" applyFont="1" applyFill="1" applyBorder="1" applyAlignment="1">
      <alignment horizontal="left" vertical="center"/>
    </xf>
    <xf numFmtId="0" fontId="10" fillId="3" borderId="15" xfId="0" applyFont="1" applyFill="1" applyBorder="1" applyAlignment="1">
      <alignment horizontal="left" vertical="center"/>
    </xf>
    <xf numFmtId="0" fontId="8" fillId="0" borderId="0" xfId="0" applyFont="1" applyAlignment="1">
      <alignment horizontal="left"/>
    </xf>
    <xf numFmtId="0" fontId="2" fillId="3" borderId="36" xfId="0" applyFont="1" applyFill="1" applyBorder="1" applyAlignment="1" applyProtection="1">
      <alignment horizontal="center" vertical="top" wrapText="1"/>
      <protection locked="0"/>
    </xf>
    <xf numFmtId="0" fontId="2" fillId="3" borderId="42" xfId="0" applyFont="1" applyFill="1" applyBorder="1" applyAlignment="1" applyProtection="1">
      <alignment horizontal="center" vertical="top" wrapText="1"/>
      <protection locked="0"/>
    </xf>
    <xf numFmtId="0" fontId="2" fillId="3" borderId="36" xfId="0" applyFont="1" applyFill="1" applyBorder="1" applyAlignment="1" applyProtection="1">
      <alignment horizontal="left" vertical="top" wrapText="1"/>
      <protection locked="0"/>
    </xf>
    <xf numFmtId="0" fontId="2" fillId="3" borderId="43" xfId="0" applyFont="1" applyFill="1" applyBorder="1" applyAlignment="1" applyProtection="1">
      <alignment horizontal="left" vertical="top" wrapText="1"/>
      <protection locked="0"/>
    </xf>
    <xf numFmtId="0" fontId="2" fillId="3" borderId="35" xfId="0" applyFont="1" applyFill="1" applyBorder="1" applyAlignment="1" applyProtection="1">
      <alignment horizontal="left" vertical="top" wrapText="1"/>
      <protection locked="0"/>
    </xf>
    <xf numFmtId="0" fontId="6" fillId="0" borderId="39" xfId="0" applyFont="1" applyBorder="1" applyAlignment="1">
      <alignment horizontal="center" vertical="center"/>
    </xf>
    <xf numFmtId="0" fontId="6" fillId="0" borderId="35" xfId="0" applyFont="1" applyBorder="1" applyAlignment="1">
      <alignment horizontal="center" vertical="center"/>
    </xf>
    <xf numFmtId="0" fontId="6" fillId="0" borderId="42" xfId="0" applyFont="1" applyBorder="1" applyAlignment="1">
      <alignment horizontal="center" vertical="center"/>
    </xf>
    <xf numFmtId="0" fontId="2" fillId="3" borderId="42" xfId="0" applyFont="1" applyFill="1" applyBorder="1" applyAlignment="1" applyProtection="1">
      <alignment horizontal="left" vertical="top" wrapText="1"/>
      <protection locked="0"/>
    </xf>
    <xf numFmtId="0" fontId="8" fillId="3" borderId="10" xfId="0" applyFont="1" applyFill="1" applyBorder="1" applyAlignment="1" applyProtection="1">
      <alignment horizontal="center" vertical="center"/>
      <protection locked="0"/>
    </xf>
    <xf numFmtId="38" fontId="3" fillId="0" borderId="60" xfId="1" applyFont="1" applyFill="1" applyBorder="1" applyAlignment="1">
      <alignment horizontal="right" vertical="center"/>
    </xf>
    <xf numFmtId="38" fontId="3" fillId="0" borderId="58" xfId="1" applyFont="1" applyFill="1" applyBorder="1" applyAlignment="1">
      <alignment horizontal="right"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8" xfId="0" applyFont="1" applyBorder="1" applyAlignment="1">
      <alignment horizontal="center" vertical="center"/>
    </xf>
    <xf numFmtId="0" fontId="3" fillId="0" borderId="45" xfId="0" applyFont="1" applyBorder="1" applyAlignment="1">
      <alignment horizontal="center" vertical="center"/>
    </xf>
    <xf numFmtId="0" fontId="3" fillId="0" borderId="48"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29" xfId="0" applyFont="1" applyBorder="1" applyAlignment="1">
      <alignment horizontal="center" vertical="center"/>
    </xf>
    <xf numFmtId="0" fontId="3" fillId="0" borderId="55" xfId="0" applyFont="1" applyBorder="1" applyAlignment="1">
      <alignment horizontal="center" vertical="center"/>
    </xf>
    <xf numFmtId="0" fontId="3" fillId="0" borderId="57" xfId="0" applyFont="1" applyBorder="1" applyAlignment="1">
      <alignment horizontal="center" vertical="center"/>
    </xf>
    <xf numFmtId="0" fontId="0" fillId="3" borderId="1"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3" borderId="7"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0" borderId="0" xfId="0" applyAlignment="1">
      <alignment horizontal="left" vertical="center"/>
    </xf>
    <xf numFmtId="0" fontId="0" fillId="0" borderId="3" xfId="0" applyBorder="1" applyAlignment="1">
      <alignment horizontal="distributed" vertical="center"/>
    </xf>
    <xf numFmtId="0" fontId="0" fillId="0" borderId="5" xfId="0" applyBorder="1" applyAlignment="1">
      <alignment horizontal="distributed" vertical="center"/>
    </xf>
    <xf numFmtId="0" fontId="4" fillId="0" borderId="16" xfId="0" applyFont="1" applyBorder="1" applyAlignment="1">
      <alignment horizontal="left" vertical="center"/>
    </xf>
    <xf numFmtId="0" fontId="0" fillId="0" borderId="69" xfId="0" applyBorder="1" applyAlignment="1">
      <alignment horizontal="distributed" vertical="center"/>
    </xf>
    <xf numFmtId="0" fontId="0" fillId="0" borderId="51" xfId="0" applyBorder="1" applyAlignment="1">
      <alignment horizontal="distributed" vertical="center"/>
    </xf>
    <xf numFmtId="0" fontId="0" fillId="0" borderId="36" xfId="0" applyBorder="1" applyAlignment="1">
      <alignment horizontal="distributed" vertical="center"/>
    </xf>
    <xf numFmtId="0" fontId="0" fillId="0" borderId="43" xfId="0" applyBorder="1" applyAlignment="1">
      <alignment horizontal="distributed"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117" xfId="0" applyBorder="1" applyAlignment="1">
      <alignment horizontal="center" vertical="center"/>
    </xf>
    <xf numFmtId="0" fontId="0" fillId="0" borderId="72" xfId="0" applyBorder="1" applyAlignment="1">
      <alignment horizontal="center" vertical="center"/>
    </xf>
    <xf numFmtId="0" fontId="0" fillId="0" borderId="52" xfId="0" applyBorder="1" applyAlignment="1">
      <alignment horizontal="center" vertical="center"/>
    </xf>
    <xf numFmtId="0" fontId="0" fillId="0" borderId="8" xfId="0" applyBorder="1" applyAlignment="1">
      <alignment horizontal="center" vertical="center"/>
    </xf>
    <xf numFmtId="0" fontId="0" fillId="3" borderId="38" xfId="0" applyFill="1" applyBorder="1" applyAlignment="1" applyProtection="1">
      <alignment horizontal="center" vertical="center" wrapText="1"/>
      <protection locked="0"/>
    </xf>
    <xf numFmtId="0" fontId="0" fillId="0" borderId="38"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8" fillId="0" borderId="16" xfId="0" applyFont="1" applyBorder="1" applyAlignment="1">
      <alignment horizontal="distributed"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3" borderId="1"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7" xfId="0" applyFill="1" applyBorder="1" applyAlignment="1" applyProtection="1">
      <alignment horizontal="right"/>
      <protection locked="0"/>
    </xf>
    <xf numFmtId="0" fontId="0" fillId="3" borderId="53" xfId="0" applyFill="1" applyBorder="1" applyAlignment="1" applyProtection="1">
      <alignment horizontal="right"/>
      <protection locked="0"/>
    </xf>
    <xf numFmtId="0" fontId="0" fillId="3" borderId="9" xfId="0" applyFill="1" applyBorder="1" applyAlignment="1" applyProtection="1">
      <alignment horizontal="right"/>
      <protection locked="0"/>
    </xf>
    <xf numFmtId="0" fontId="0" fillId="3" borderId="25" xfId="0" applyFill="1" applyBorder="1" applyAlignment="1" applyProtection="1">
      <alignment horizontal="left" vertical="top"/>
      <protection locked="0"/>
    </xf>
    <xf numFmtId="0" fontId="0" fillId="3" borderId="26" xfId="0" applyFill="1" applyBorder="1" applyAlignment="1" applyProtection="1">
      <alignment horizontal="left" vertical="top"/>
      <protection locked="0"/>
    </xf>
    <xf numFmtId="0" fontId="0" fillId="3" borderId="23" xfId="0" applyFill="1" applyBorder="1" applyAlignment="1" applyProtection="1">
      <alignment horizontal="left" vertical="top"/>
      <protection locked="0"/>
    </xf>
    <xf numFmtId="0" fontId="0" fillId="3" borderId="16" xfId="0" applyFill="1" applyBorder="1" applyAlignment="1" applyProtection="1">
      <alignment horizontal="left" vertical="top"/>
      <protection locked="0"/>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32</xdr:col>
      <xdr:colOff>285749</xdr:colOff>
      <xdr:row>19</xdr:row>
      <xdr:rowOff>312964</xdr:rowOff>
    </xdr:from>
    <xdr:to>
      <xdr:col>39</xdr:col>
      <xdr:colOff>394607</xdr:colOff>
      <xdr:row>23</xdr:row>
      <xdr:rowOff>68037</xdr:rowOff>
    </xdr:to>
    <xdr:sp macro="" textlink="">
      <xdr:nvSpPr>
        <xdr:cNvPr id="2" name="吹き出し: 四角形 1">
          <a:extLst>
            <a:ext uri="{FF2B5EF4-FFF2-40B4-BE49-F238E27FC236}">
              <a16:creationId xmlns:a16="http://schemas.microsoft.com/office/drawing/2014/main" id="{E80BF0EF-4450-45BA-BA5E-95272657B4E8}"/>
            </a:ext>
          </a:extLst>
        </xdr:cNvPr>
        <xdr:cNvSpPr/>
      </xdr:nvSpPr>
      <xdr:spPr>
        <a:xfrm>
          <a:off x="15484928" y="6191250"/>
          <a:ext cx="3156858" cy="1496787"/>
        </a:xfrm>
        <a:prstGeom prst="wedgeRectCallout">
          <a:avLst>
            <a:gd name="adj1" fmla="val -59862"/>
            <a:gd name="adj2" fmla="val 46500"/>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①給与を現金支給するときは、給与天引きする源泉税、雇用保険料、積立金等を</a:t>
          </a:r>
          <a:r>
            <a:rPr kumimoji="1" lang="en-US" altLang="ja-JP" sz="1200"/>
            <a:t>(</a:t>
          </a:r>
          <a:r>
            <a:rPr kumimoji="1" lang="ja-JP" altLang="en-US" sz="1200"/>
            <a:t>　</a:t>
          </a:r>
          <a:r>
            <a:rPr kumimoji="1" lang="en-US" altLang="ja-JP" sz="1200"/>
            <a:t>)</a:t>
          </a:r>
          <a:r>
            <a:rPr kumimoji="1" lang="ja-JP" altLang="en-US" sz="1200"/>
            <a:t>をつけて記入します。②現金払いでなく、通帳から振込の場合は、天引前の総支給額を</a:t>
          </a:r>
          <a:r>
            <a:rPr kumimoji="1" lang="en-US" altLang="ja-JP" sz="1200"/>
            <a:t>(</a:t>
          </a:r>
          <a:r>
            <a:rPr kumimoji="1" lang="ja-JP" altLang="en-US" sz="1200"/>
            <a:t>　</a:t>
          </a:r>
          <a:r>
            <a:rPr kumimoji="1" lang="en-US" altLang="ja-JP" sz="1200"/>
            <a:t>)</a:t>
          </a:r>
          <a:r>
            <a:rPr kumimoji="1" lang="ja-JP" altLang="en-US" sz="1200"/>
            <a:t>をつけて記入します</a:t>
          </a:r>
        </a:p>
      </xdr:txBody>
    </xdr:sp>
    <xdr:clientData/>
  </xdr:twoCellAnchor>
  <xdr:twoCellAnchor>
    <xdr:from>
      <xdr:col>32</xdr:col>
      <xdr:colOff>288470</xdr:colOff>
      <xdr:row>23</xdr:row>
      <xdr:rowOff>125185</xdr:rowOff>
    </xdr:from>
    <xdr:to>
      <xdr:col>39</xdr:col>
      <xdr:colOff>394607</xdr:colOff>
      <xdr:row>24</xdr:row>
      <xdr:rowOff>381000</xdr:rowOff>
    </xdr:to>
    <xdr:sp macro="" textlink="">
      <xdr:nvSpPr>
        <xdr:cNvPr id="3" name="吹き出し: 四角形 2">
          <a:extLst>
            <a:ext uri="{FF2B5EF4-FFF2-40B4-BE49-F238E27FC236}">
              <a16:creationId xmlns:a16="http://schemas.microsoft.com/office/drawing/2014/main" id="{6D482BF2-62FB-40A4-A9AA-149B39F50F56}"/>
            </a:ext>
          </a:extLst>
        </xdr:cNvPr>
        <xdr:cNvSpPr/>
      </xdr:nvSpPr>
      <xdr:spPr>
        <a:xfrm>
          <a:off x="15487649" y="7745185"/>
          <a:ext cx="3154137" cy="691244"/>
        </a:xfrm>
        <a:prstGeom prst="wedgeRectCallout">
          <a:avLst>
            <a:gd name="adj1" fmla="val -59025"/>
            <a:gd name="adj2" fmla="val -24286"/>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上記①現金支給の場合は、天引き後の現金で渡した金額を記入します</a:t>
          </a:r>
        </a:p>
      </xdr:txBody>
    </xdr:sp>
    <xdr:clientData/>
  </xdr:twoCellAnchor>
  <xdr:twoCellAnchor>
    <xdr:from>
      <xdr:col>5</xdr:col>
      <xdr:colOff>299356</xdr:colOff>
      <xdr:row>34</xdr:row>
      <xdr:rowOff>122463</xdr:rowOff>
    </xdr:from>
    <xdr:to>
      <xdr:col>15</xdr:col>
      <xdr:colOff>312964</xdr:colOff>
      <xdr:row>38</xdr:row>
      <xdr:rowOff>149678</xdr:rowOff>
    </xdr:to>
    <xdr:sp macro="" textlink="">
      <xdr:nvSpPr>
        <xdr:cNvPr id="4" name="吹き出し: 四角形 3">
          <a:extLst>
            <a:ext uri="{FF2B5EF4-FFF2-40B4-BE49-F238E27FC236}">
              <a16:creationId xmlns:a16="http://schemas.microsoft.com/office/drawing/2014/main" id="{806DED0E-8A63-495B-B05D-1CDBF508BD71}"/>
            </a:ext>
          </a:extLst>
        </xdr:cNvPr>
        <xdr:cNvSpPr/>
      </xdr:nvSpPr>
      <xdr:spPr>
        <a:xfrm>
          <a:off x="4122963" y="12532177"/>
          <a:ext cx="3986894" cy="1768930"/>
        </a:xfrm>
        <a:prstGeom prst="wedgeRectCallout">
          <a:avLst>
            <a:gd name="adj1" fmla="val -60104"/>
            <a:gd name="adj2" fmla="val 10057"/>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商品券やキャッシュレス決済で払われた売上は、現金でないので</a:t>
          </a:r>
          <a:r>
            <a:rPr kumimoji="1" lang="en-US" altLang="ja-JP" sz="1200"/>
            <a:t>(</a:t>
          </a:r>
          <a:r>
            <a:rPr kumimoji="1" lang="ja-JP" altLang="en-US" sz="1200"/>
            <a:t>　</a:t>
          </a:r>
          <a:r>
            <a:rPr kumimoji="1" lang="en-US" altLang="ja-JP" sz="1200"/>
            <a:t>)</a:t>
          </a:r>
          <a:r>
            <a:rPr kumimoji="1" lang="ja-JP" altLang="en-US" sz="1200"/>
            <a:t>をつけます</a:t>
          </a:r>
          <a:endParaRPr kumimoji="1" lang="en-US" altLang="ja-JP" sz="1200"/>
        </a:p>
        <a:p>
          <a:pPr algn="l"/>
          <a:r>
            <a:rPr kumimoji="1" lang="ja-JP" altLang="en-US" sz="1200"/>
            <a:t>商品券やキャッシュレス分が預金に入金になった時、商品券を換金した時は、売上に記帳しません。手数料を差し引かれる場合は、雑費の欄に（　）をつけて記入します</a:t>
          </a:r>
        </a:p>
      </xdr:txBody>
    </xdr:sp>
    <xdr:clientData/>
  </xdr:twoCellAnchor>
  <xdr:twoCellAnchor>
    <xdr:from>
      <xdr:col>38</xdr:col>
      <xdr:colOff>122465</xdr:colOff>
      <xdr:row>9</xdr:row>
      <xdr:rowOff>40820</xdr:rowOff>
    </xdr:from>
    <xdr:to>
      <xdr:col>45</xdr:col>
      <xdr:colOff>381000</xdr:colOff>
      <xdr:row>11</xdr:row>
      <xdr:rowOff>176893</xdr:rowOff>
    </xdr:to>
    <xdr:sp macro="" textlink="">
      <xdr:nvSpPr>
        <xdr:cNvPr id="5" name="吹き出し: 四角形 4">
          <a:extLst>
            <a:ext uri="{FF2B5EF4-FFF2-40B4-BE49-F238E27FC236}">
              <a16:creationId xmlns:a16="http://schemas.microsoft.com/office/drawing/2014/main" id="{7DB5BD68-8A09-4263-A07F-8813B5FB4924}"/>
            </a:ext>
          </a:extLst>
        </xdr:cNvPr>
        <xdr:cNvSpPr/>
      </xdr:nvSpPr>
      <xdr:spPr>
        <a:xfrm>
          <a:off x="17934215" y="1564820"/>
          <a:ext cx="3306535" cy="1006930"/>
        </a:xfrm>
        <a:prstGeom prst="wedgeRectCallout">
          <a:avLst>
            <a:gd name="adj1" fmla="val 58966"/>
            <a:gd name="adj2" fmla="val -21297"/>
          </a:avLst>
        </a:prstGeom>
        <a:solidFill>
          <a:schemeClr val="bg1"/>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a:t>( </a:t>
          </a:r>
          <a:r>
            <a:rPr kumimoji="1" lang="ja-JP" altLang="en-US" sz="1200"/>
            <a:t>　</a:t>
          </a:r>
          <a:r>
            <a:rPr kumimoji="1" lang="en-US" altLang="ja-JP" sz="1200"/>
            <a:t>)</a:t>
          </a:r>
          <a:r>
            <a:rPr kumimoji="1" lang="ja-JP" altLang="en-US" sz="1200"/>
            <a:t>をつけていない現金取引分だけ、足し引きして現金残高を記入します。日々の手持ち現金の金額と合っているか確認して下さい</a:t>
          </a:r>
        </a:p>
      </xdr:txBody>
    </xdr:sp>
    <xdr:clientData/>
  </xdr:twoCellAnchor>
  <xdr:twoCellAnchor>
    <xdr:from>
      <xdr:col>8</xdr:col>
      <xdr:colOff>476248</xdr:colOff>
      <xdr:row>39</xdr:row>
      <xdr:rowOff>258536</xdr:rowOff>
    </xdr:from>
    <xdr:to>
      <xdr:col>20</xdr:col>
      <xdr:colOff>176893</xdr:colOff>
      <xdr:row>40</xdr:row>
      <xdr:rowOff>217715</xdr:rowOff>
    </xdr:to>
    <xdr:sp macro="" textlink="">
      <xdr:nvSpPr>
        <xdr:cNvPr id="6" name="吹き出し: 四角形 5">
          <a:extLst>
            <a:ext uri="{FF2B5EF4-FFF2-40B4-BE49-F238E27FC236}">
              <a16:creationId xmlns:a16="http://schemas.microsoft.com/office/drawing/2014/main" id="{991ADB0D-094A-415F-9AEC-283E728A80F1}"/>
            </a:ext>
          </a:extLst>
        </xdr:cNvPr>
        <xdr:cNvSpPr/>
      </xdr:nvSpPr>
      <xdr:spPr>
        <a:xfrm>
          <a:off x="5306784" y="14845393"/>
          <a:ext cx="5007430" cy="394608"/>
        </a:xfrm>
        <a:prstGeom prst="wedgeRectCallout">
          <a:avLst>
            <a:gd name="adj1" fmla="val -35991"/>
            <a:gd name="adj2" fmla="val 127590"/>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縦の集計では、</a:t>
          </a:r>
          <a:r>
            <a:rPr kumimoji="1" lang="en-US" altLang="ja-JP" sz="1200"/>
            <a:t>(</a:t>
          </a:r>
          <a:r>
            <a:rPr kumimoji="1" lang="ja-JP" altLang="en-US" sz="1200"/>
            <a:t>　</a:t>
          </a:r>
          <a:r>
            <a:rPr kumimoji="1" lang="en-US" altLang="ja-JP" sz="1200"/>
            <a:t> )</a:t>
          </a:r>
          <a:r>
            <a:rPr kumimoji="1" lang="ja-JP" altLang="en-US" sz="1200"/>
            <a:t>をつけた金額も含めて、合計を記入します</a:t>
          </a:r>
        </a:p>
      </xdr:txBody>
    </xdr:sp>
    <xdr:clientData/>
  </xdr:twoCellAnchor>
  <xdr:twoCellAnchor>
    <xdr:from>
      <xdr:col>10</xdr:col>
      <xdr:colOff>318406</xdr:colOff>
      <xdr:row>24</xdr:row>
      <xdr:rowOff>40821</xdr:rowOff>
    </xdr:from>
    <xdr:to>
      <xdr:col>18</xdr:col>
      <xdr:colOff>413656</xdr:colOff>
      <xdr:row>25</xdr:row>
      <xdr:rowOff>329294</xdr:rowOff>
    </xdr:to>
    <xdr:sp macro="" textlink="">
      <xdr:nvSpPr>
        <xdr:cNvPr id="7" name="吹き出し: 四角形 6">
          <a:extLst>
            <a:ext uri="{FF2B5EF4-FFF2-40B4-BE49-F238E27FC236}">
              <a16:creationId xmlns:a16="http://schemas.microsoft.com/office/drawing/2014/main" id="{095A9E96-0198-4C75-9B9C-0BE89975FAD6}"/>
            </a:ext>
          </a:extLst>
        </xdr:cNvPr>
        <xdr:cNvSpPr/>
      </xdr:nvSpPr>
      <xdr:spPr>
        <a:xfrm>
          <a:off x="5938156" y="8096250"/>
          <a:ext cx="3578679" cy="723901"/>
        </a:xfrm>
        <a:prstGeom prst="wedgeRectCallout">
          <a:avLst>
            <a:gd name="adj1" fmla="val -60699"/>
            <a:gd name="adj2" fmla="val 29285"/>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仕入買掛の内、</a:t>
          </a:r>
          <a:r>
            <a:rPr kumimoji="1" lang="en-US" altLang="ja-JP" sz="1200"/>
            <a:t>54,000</a:t>
          </a:r>
          <a:r>
            <a:rPr kumimoji="1" lang="ja-JP" altLang="en-US" sz="1200"/>
            <a:t>円は食品で</a:t>
          </a:r>
          <a:r>
            <a:rPr kumimoji="1" lang="en-US" altLang="ja-JP" sz="1200"/>
            <a:t>6,000</a:t>
          </a:r>
          <a:r>
            <a:rPr kumimoji="1" lang="ja-JP" altLang="en-US" sz="1200"/>
            <a:t>円は酒だったため、軽減税率対象分だけ</a:t>
          </a:r>
          <a:r>
            <a:rPr kumimoji="1" lang="en-US" altLang="ja-JP" sz="1200"/>
            <a:t>※</a:t>
          </a:r>
          <a:r>
            <a:rPr kumimoji="1" lang="ja-JP" altLang="en-US" sz="1200"/>
            <a:t>をつける</a:t>
          </a:r>
          <a:endParaRPr kumimoji="1" lang="en-US" altLang="ja-JP" sz="1200"/>
        </a:p>
        <a:p>
          <a:pPr algn="l"/>
          <a:endParaRPr kumimoji="1" lang="en-US" altLang="ja-JP" sz="1100"/>
        </a:p>
      </xdr:txBody>
    </xdr:sp>
    <xdr:clientData/>
  </xdr:twoCellAnchor>
  <xdr:twoCellAnchor>
    <xdr:from>
      <xdr:col>5</xdr:col>
      <xdr:colOff>400050</xdr:colOff>
      <xdr:row>28</xdr:row>
      <xdr:rowOff>155122</xdr:rowOff>
    </xdr:from>
    <xdr:to>
      <xdr:col>14</xdr:col>
      <xdr:colOff>421823</xdr:colOff>
      <xdr:row>30</xdr:row>
      <xdr:rowOff>0</xdr:rowOff>
    </xdr:to>
    <xdr:sp macro="" textlink="">
      <xdr:nvSpPr>
        <xdr:cNvPr id="9" name="吹き出し: 四角形 8">
          <a:extLst>
            <a:ext uri="{FF2B5EF4-FFF2-40B4-BE49-F238E27FC236}">
              <a16:creationId xmlns:a16="http://schemas.microsoft.com/office/drawing/2014/main" id="{AE86B22A-72D1-40B0-8A41-106D6FC76641}"/>
            </a:ext>
          </a:extLst>
        </xdr:cNvPr>
        <xdr:cNvSpPr/>
      </xdr:nvSpPr>
      <xdr:spPr>
        <a:xfrm>
          <a:off x="4223657" y="9952265"/>
          <a:ext cx="3559630" cy="715735"/>
        </a:xfrm>
        <a:prstGeom prst="wedgeRectCallout">
          <a:avLst>
            <a:gd name="adj1" fmla="val -60699"/>
            <a:gd name="adj2" fmla="val 29285"/>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売掛金の内、</a:t>
          </a:r>
          <a:r>
            <a:rPr kumimoji="1" lang="en-US" altLang="ja-JP" sz="1200"/>
            <a:t>40,000</a:t>
          </a:r>
          <a:r>
            <a:rPr kumimoji="1" lang="ja-JP" altLang="en-US" sz="1200"/>
            <a:t>円は食品で</a:t>
          </a:r>
          <a:r>
            <a:rPr kumimoji="1" lang="en-US" altLang="ja-JP" sz="1200"/>
            <a:t>60,000</a:t>
          </a:r>
          <a:r>
            <a:rPr kumimoji="1" lang="ja-JP" altLang="en-US" sz="1200"/>
            <a:t>円は食品以外だったため、軽減税率対象分だけ</a:t>
          </a:r>
          <a:r>
            <a:rPr kumimoji="1" lang="en-US" altLang="ja-JP" sz="1200"/>
            <a:t>※</a:t>
          </a:r>
          <a:r>
            <a:rPr kumimoji="1" lang="ja-JP" altLang="en-US" sz="1200"/>
            <a:t>をつける</a:t>
          </a:r>
          <a:endParaRPr kumimoji="1" lang="en-US" altLang="ja-JP" sz="1200"/>
        </a:p>
      </xdr:txBody>
    </xdr:sp>
    <xdr:clientData/>
  </xdr:twoCellAnchor>
  <xdr:twoCellAnchor>
    <xdr:from>
      <xdr:col>29</xdr:col>
      <xdr:colOff>394607</xdr:colOff>
      <xdr:row>22</xdr:row>
      <xdr:rowOff>357868</xdr:rowOff>
    </xdr:from>
    <xdr:to>
      <xdr:col>32</xdr:col>
      <xdr:colOff>340180</xdr:colOff>
      <xdr:row>24</xdr:row>
      <xdr:rowOff>95249</xdr:rowOff>
    </xdr:to>
    <xdr:sp macro="" textlink="">
      <xdr:nvSpPr>
        <xdr:cNvPr id="10" name="テキスト ボックス 9">
          <a:extLst>
            <a:ext uri="{FF2B5EF4-FFF2-40B4-BE49-F238E27FC236}">
              <a16:creationId xmlns:a16="http://schemas.microsoft.com/office/drawing/2014/main" id="{1E5408AC-D206-4FD1-86C4-F684F7BE13F5}"/>
            </a:ext>
          </a:extLst>
        </xdr:cNvPr>
        <xdr:cNvSpPr txBox="1"/>
      </xdr:nvSpPr>
      <xdr:spPr>
        <a:xfrm>
          <a:off x="14450786" y="7542439"/>
          <a:ext cx="1251858" cy="608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みかちゃん-PB" panose="02000600000000000000" pitchFamily="2" charset="-128"/>
              <a:ea typeface="みかちゃん-PB" panose="02000600000000000000" pitchFamily="2" charset="-128"/>
            </a:rPr>
            <a:t>  （</a:t>
          </a:r>
          <a:r>
            <a:rPr kumimoji="1" lang="en-US" altLang="ja-JP" sz="1200">
              <a:latin typeface="みかちゃん-PB" panose="02000600000000000000" pitchFamily="2" charset="-128"/>
              <a:ea typeface="みかちゃん-PB" panose="02000600000000000000" pitchFamily="2" charset="-128"/>
            </a:rPr>
            <a:t>4 600</a:t>
          </a:r>
          <a:r>
            <a:rPr kumimoji="1" lang="ja-JP" altLang="en-US" sz="1200">
              <a:latin typeface="みかちゃん-PB" panose="02000600000000000000" pitchFamily="2" charset="-128"/>
              <a:ea typeface="みかちゃん-PB" panose="02000600000000000000" pitchFamily="2" charset="-128"/>
            </a:rPr>
            <a:t>）</a:t>
          </a:r>
          <a:endParaRPr kumimoji="1" lang="en-US" altLang="ja-JP" sz="1200">
            <a:latin typeface="みかちゃん-PB" panose="02000600000000000000" pitchFamily="2" charset="-128"/>
            <a:ea typeface="みかちゃん-PB" panose="02000600000000000000" pitchFamily="2" charset="-128"/>
          </a:endParaRPr>
        </a:p>
        <a:p>
          <a:r>
            <a:rPr kumimoji="1" lang="en-US" altLang="ja-JP" sz="1200">
              <a:latin typeface="みかちゃん-PB" panose="02000600000000000000" pitchFamily="2" charset="-128"/>
              <a:ea typeface="みかちゃん-PB" panose="02000600000000000000" pitchFamily="2" charset="-128"/>
            </a:rPr>
            <a:t>   186</a:t>
          </a:r>
          <a:r>
            <a:rPr kumimoji="1" lang="ja-JP" altLang="en-US" sz="1200" baseline="0">
              <a:latin typeface="みかちゃん-PB" panose="02000600000000000000" pitchFamily="2" charset="-128"/>
              <a:ea typeface="みかちゃん-PB" panose="02000600000000000000" pitchFamily="2" charset="-128"/>
            </a:rPr>
            <a:t> </a:t>
          </a:r>
          <a:r>
            <a:rPr kumimoji="1" lang="en-US" altLang="ja-JP" sz="1200">
              <a:latin typeface="みかちゃん-PB" panose="02000600000000000000" pitchFamily="2" charset="-128"/>
              <a:ea typeface="みかちゃん-PB" panose="02000600000000000000" pitchFamily="2" charset="-128"/>
            </a:rPr>
            <a:t>000 </a:t>
          </a:r>
          <a:endParaRPr kumimoji="1" lang="ja-JP" altLang="en-US" sz="1100">
            <a:latin typeface="みかちゃん-PB" panose="02000600000000000000" pitchFamily="2" charset="-128"/>
            <a:ea typeface="みかちゃん-PB" panose="02000600000000000000" pitchFamily="2" charset="-128"/>
          </a:endParaRPr>
        </a:p>
      </xdr:txBody>
    </xdr:sp>
    <xdr:clientData/>
  </xdr:twoCellAnchor>
  <xdr:twoCellAnchor>
    <xdr:from>
      <xdr:col>36</xdr:col>
      <xdr:colOff>204106</xdr:colOff>
      <xdr:row>1</xdr:row>
      <xdr:rowOff>81642</xdr:rowOff>
    </xdr:from>
    <xdr:to>
      <xdr:col>44</xdr:col>
      <xdr:colOff>367394</xdr:colOff>
      <xdr:row>3</xdr:row>
      <xdr:rowOff>68036</xdr:rowOff>
    </xdr:to>
    <xdr:sp macro="" textlink="">
      <xdr:nvSpPr>
        <xdr:cNvPr id="11" name="吹き出し: 四角形 10">
          <a:extLst>
            <a:ext uri="{FF2B5EF4-FFF2-40B4-BE49-F238E27FC236}">
              <a16:creationId xmlns:a16="http://schemas.microsoft.com/office/drawing/2014/main" id="{290811B1-D73D-4B6C-AF10-C0F9FA54B421}"/>
            </a:ext>
          </a:extLst>
        </xdr:cNvPr>
        <xdr:cNvSpPr/>
      </xdr:nvSpPr>
      <xdr:spPr>
        <a:xfrm>
          <a:off x="17144999" y="421821"/>
          <a:ext cx="3646716" cy="421822"/>
        </a:xfrm>
        <a:prstGeom prst="wedgeRectCallout">
          <a:avLst>
            <a:gd name="adj1" fmla="val 744"/>
            <a:gd name="adj2" fmla="val 95200"/>
          </a:avLst>
        </a:prstGeom>
        <a:solidFill>
          <a:schemeClr val="bg1"/>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a:t>記載のない科目は、ここに追加してください</a:t>
          </a:r>
        </a:p>
      </xdr:txBody>
    </xdr:sp>
    <xdr:clientData/>
  </xdr:twoCellAnchor>
  <xdr:twoCellAnchor>
    <xdr:from>
      <xdr:col>33</xdr:col>
      <xdr:colOff>421822</xdr:colOff>
      <xdr:row>35</xdr:row>
      <xdr:rowOff>421822</xdr:rowOff>
    </xdr:from>
    <xdr:to>
      <xdr:col>36</xdr:col>
      <xdr:colOff>136071</xdr:colOff>
      <xdr:row>36</xdr:row>
      <xdr:rowOff>340180</xdr:rowOff>
    </xdr:to>
    <xdr:sp macro="" textlink="">
      <xdr:nvSpPr>
        <xdr:cNvPr id="12" name="テキスト ボックス 11">
          <a:extLst>
            <a:ext uri="{FF2B5EF4-FFF2-40B4-BE49-F238E27FC236}">
              <a16:creationId xmlns:a16="http://schemas.microsoft.com/office/drawing/2014/main" id="{38586B92-CC5E-4009-9673-F40FFB7972B2}"/>
            </a:ext>
          </a:extLst>
        </xdr:cNvPr>
        <xdr:cNvSpPr txBox="1"/>
      </xdr:nvSpPr>
      <xdr:spPr>
        <a:xfrm>
          <a:off x="16056429" y="13266965"/>
          <a:ext cx="1020535"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みかちゃん-PB" panose="02000600000000000000" pitchFamily="2" charset="-128"/>
              <a:ea typeface="みかちゃん-PB" panose="02000600000000000000" pitchFamily="2" charset="-128"/>
            </a:rPr>
            <a:t>利息</a:t>
          </a:r>
          <a:endParaRPr kumimoji="1" lang="ja-JP" altLang="en-US" sz="1100">
            <a:latin typeface="みかちゃん-PB" panose="02000600000000000000" pitchFamily="2" charset="-128"/>
            <a:ea typeface="みかちゃん-PB" panose="02000600000000000000" pitchFamily="2" charset="-128"/>
          </a:endParaRPr>
        </a:p>
      </xdr:txBody>
    </xdr:sp>
    <xdr:clientData/>
  </xdr:twoCellAnchor>
  <xdr:twoCellAnchor>
    <xdr:from>
      <xdr:col>44</xdr:col>
      <xdr:colOff>0</xdr:colOff>
      <xdr:row>35</xdr:row>
      <xdr:rowOff>421821</xdr:rowOff>
    </xdr:from>
    <xdr:to>
      <xdr:col>47</xdr:col>
      <xdr:colOff>122463</xdr:colOff>
      <xdr:row>36</xdr:row>
      <xdr:rowOff>340179</xdr:rowOff>
    </xdr:to>
    <xdr:sp macro="" textlink="">
      <xdr:nvSpPr>
        <xdr:cNvPr id="13" name="テキスト ボックス 12">
          <a:extLst>
            <a:ext uri="{FF2B5EF4-FFF2-40B4-BE49-F238E27FC236}">
              <a16:creationId xmlns:a16="http://schemas.microsoft.com/office/drawing/2014/main" id="{25C3BA64-559A-410B-B2F8-EC91018EF372}"/>
            </a:ext>
          </a:extLst>
        </xdr:cNvPr>
        <xdr:cNvSpPr txBox="1"/>
      </xdr:nvSpPr>
      <xdr:spPr>
        <a:xfrm>
          <a:off x="20424321" y="13266964"/>
          <a:ext cx="1020535"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みかちゃん-PB" panose="02000600000000000000" pitchFamily="2" charset="-128"/>
              <a:ea typeface="みかちゃん-PB" panose="02000600000000000000" pitchFamily="2" charset="-128"/>
            </a:rPr>
            <a:t>借入元本</a:t>
          </a:r>
          <a:endParaRPr kumimoji="1" lang="ja-JP" altLang="en-US" sz="1100">
            <a:latin typeface="みかちゃん-PB" panose="02000600000000000000" pitchFamily="2" charset="-128"/>
            <a:ea typeface="みかちゃん-PB" panose="02000600000000000000" pitchFamily="2" charset="-128"/>
          </a:endParaRPr>
        </a:p>
      </xdr:txBody>
    </xdr:sp>
    <xdr:clientData/>
  </xdr:twoCellAnchor>
  <xdr:twoCellAnchor>
    <xdr:from>
      <xdr:col>1</xdr:col>
      <xdr:colOff>2136322</xdr:colOff>
      <xdr:row>39</xdr:row>
      <xdr:rowOff>112938</xdr:rowOff>
    </xdr:from>
    <xdr:to>
      <xdr:col>8</xdr:col>
      <xdr:colOff>342901</xdr:colOff>
      <xdr:row>40</xdr:row>
      <xdr:rowOff>329293</xdr:rowOff>
    </xdr:to>
    <xdr:sp macro="" textlink="">
      <xdr:nvSpPr>
        <xdr:cNvPr id="14" name="吹き出し: 四角形 13">
          <a:extLst>
            <a:ext uri="{FF2B5EF4-FFF2-40B4-BE49-F238E27FC236}">
              <a16:creationId xmlns:a16="http://schemas.microsoft.com/office/drawing/2014/main" id="{23696ABE-CEE6-445E-8CD7-BD70A5990488}"/>
            </a:ext>
          </a:extLst>
        </xdr:cNvPr>
        <xdr:cNvSpPr/>
      </xdr:nvSpPr>
      <xdr:spPr>
        <a:xfrm>
          <a:off x="2408465" y="14699795"/>
          <a:ext cx="2764972" cy="651784"/>
        </a:xfrm>
        <a:prstGeom prst="wedgeRectCallout">
          <a:avLst>
            <a:gd name="adj1" fmla="val 91"/>
            <a:gd name="adj2" fmla="val 90556"/>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必要に応じて、売上と雑収入に分けて集計し、２段書きします</a:t>
          </a:r>
        </a:p>
      </xdr:txBody>
    </xdr:sp>
    <xdr:clientData/>
  </xdr:twoCellAnchor>
  <xdr:twoCellAnchor>
    <xdr:from>
      <xdr:col>3</xdr:col>
      <xdr:colOff>0</xdr:colOff>
      <xdr:row>24</xdr:row>
      <xdr:rowOff>0</xdr:rowOff>
    </xdr:from>
    <xdr:to>
      <xdr:col>5</xdr:col>
      <xdr:colOff>68035</xdr:colOff>
      <xdr:row>24</xdr:row>
      <xdr:rowOff>353786</xdr:rowOff>
    </xdr:to>
    <xdr:sp macro="" textlink="">
      <xdr:nvSpPr>
        <xdr:cNvPr id="15" name="テキスト ボックス 14">
          <a:extLst>
            <a:ext uri="{FF2B5EF4-FFF2-40B4-BE49-F238E27FC236}">
              <a16:creationId xmlns:a16="http://schemas.microsoft.com/office/drawing/2014/main" id="{74BB2C2F-ABB1-4E8D-A5E4-98E10F35F482}"/>
            </a:ext>
          </a:extLst>
        </xdr:cNvPr>
        <xdr:cNvSpPr txBox="1"/>
      </xdr:nvSpPr>
      <xdr:spPr>
        <a:xfrm>
          <a:off x="2952750" y="8055429"/>
          <a:ext cx="1020535"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みかちゃん-PB" panose="02000600000000000000" pitchFamily="2" charset="-128"/>
              <a:ea typeface="みかちゃん-PB" panose="02000600000000000000" pitchFamily="2" charset="-128"/>
            </a:rPr>
            <a:t>雑収入</a:t>
          </a:r>
          <a:endParaRPr kumimoji="1" lang="ja-JP" altLang="en-US" sz="1100">
            <a:latin typeface="みかちゃん-PB" panose="02000600000000000000" pitchFamily="2" charset="-128"/>
            <a:ea typeface="みかちゃん-PB" panose="02000600000000000000" pitchFamily="2" charset="-128"/>
          </a:endParaRPr>
        </a:p>
      </xdr:txBody>
    </xdr:sp>
    <xdr:clientData/>
  </xdr:twoCellAnchor>
  <xdr:twoCellAnchor>
    <xdr:from>
      <xdr:col>1</xdr:col>
      <xdr:colOff>2612571</xdr:colOff>
      <xdr:row>40</xdr:row>
      <xdr:rowOff>421821</xdr:rowOff>
    </xdr:from>
    <xdr:to>
      <xdr:col>4</xdr:col>
      <xdr:colOff>435428</xdr:colOff>
      <xdr:row>41</xdr:row>
      <xdr:rowOff>340179</xdr:rowOff>
    </xdr:to>
    <xdr:sp macro="" textlink="">
      <xdr:nvSpPr>
        <xdr:cNvPr id="16" name="テキスト ボックス 15">
          <a:extLst>
            <a:ext uri="{FF2B5EF4-FFF2-40B4-BE49-F238E27FC236}">
              <a16:creationId xmlns:a16="http://schemas.microsoft.com/office/drawing/2014/main" id="{BEC6B963-C5A6-4BC1-BB38-93F7C0E15B8E}"/>
            </a:ext>
          </a:extLst>
        </xdr:cNvPr>
        <xdr:cNvSpPr txBox="1"/>
      </xdr:nvSpPr>
      <xdr:spPr>
        <a:xfrm>
          <a:off x="2884714" y="15444107"/>
          <a:ext cx="1020535"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みかちゃん-PB" panose="02000600000000000000" pitchFamily="2" charset="-128"/>
              <a:ea typeface="みかちゃん-PB" panose="02000600000000000000" pitchFamily="2" charset="-128"/>
            </a:rPr>
            <a:t>雑収入</a:t>
          </a:r>
          <a:endParaRPr kumimoji="1" lang="ja-JP" altLang="en-US" sz="1050">
            <a:latin typeface="みかちゃん-PB" panose="02000600000000000000" pitchFamily="2" charset="-128"/>
            <a:ea typeface="みかちゃん-PB" panose="02000600000000000000" pitchFamily="2"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38100</xdr:colOff>
      <xdr:row>0</xdr:row>
      <xdr:rowOff>228600</xdr:rowOff>
    </xdr:from>
    <xdr:to>
      <xdr:col>26</xdr:col>
      <xdr:colOff>713016</xdr:colOff>
      <xdr:row>3</xdr:row>
      <xdr:rowOff>88447</xdr:rowOff>
    </xdr:to>
    <xdr:sp macro="" textlink="">
      <xdr:nvSpPr>
        <xdr:cNvPr id="2" name="吹き出し: 四角形 1">
          <a:extLst>
            <a:ext uri="{FF2B5EF4-FFF2-40B4-BE49-F238E27FC236}">
              <a16:creationId xmlns:a16="http://schemas.microsoft.com/office/drawing/2014/main" id="{98969AC4-369A-401F-AD03-CAD5F1715195}"/>
            </a:ext>
          </a:extLst>
        </xdr:cNvPr>
        <xdr:cNvSpPr/>
      </xdr:nvSpPr>
      <xdr:spPr>
        <a:xfrm>
          <a:off x="15525750" y="228600"/>
          <a:ext cx="4484916" cy="621847"/>
        </a:xfrm>
        <a:prstGeom prst="wedgeRectCallout">
          <a:avLst>
            <a:gd name="adj1" fmla="val 1594"/>
            <a:gd name="adj2" fmla="val 83831"/>
          </a:avLst>
        </a:prstGeom>
        <a:solidFill>
          <a:schemeClr val="bg1"/>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a:t>記載のない科目は、年間集計表の空欄</a:t>
          </a:r>
          <a:r>
            <a:rPr kumimoji="1" lang="en-US" altLang="ja-JP" sz="1200"/>
            <a:t>1</a:t>
          </a:r>
          <a:r>
            <a:rPr kumimoji="1" lang="ja-JP" altLang="en-US" sz="1200"/>
            <a:t>か空欄</a:t>
          </a:r>
          <a:r>
            <a:rPr kumimoji="1" lang="en-US" altLang="ja-JP" sz="1200"/>
            <a:t>2</a:t>
          </a:r>
          <a:r>
            <a:rPr kumimoji="1" lang="ja-JP" altLang="en-US" sz="1200"/>
            <a:t>に追加すると</a:t>
          </a:r>
          <a:endParaRPr kumimoji="1" lang="en-US" altLang="ja-JP" sz="1200"/>
        </a:p>
        <a:p>
          <a:pPr algn="ctr"/>
          <a:r>
            <a:rPr kumimoji="1" lang="ja-JP" altLang="en-US" sz="1200"/>
            <a:t>全てのシートに反映されます。</a:t>
          </a:r>
        </a:p>
      </xdr:txBody>
    </xdr:sp>
    <xdr:clientData/>
  </xdr:twoCellAnchor>
  <xdr:twoCellAnchor>
    <xdr:from>
      <xdr:col>20</xdr:col>
      <xdr:colOff>268942</xdr:colOff>
      <xdr:row>33</xdr:row>
      <xdr:rowOff>291353</xdr:rowOff>
    </xdr:from>
    <xdr:to>
      <xdr:col>24</xdr:col>
      <xdr:colOff>377800</xdr:colOff>
      <xdr:row>37</xdr:row>
      <xdr:rowOff>84846</xdr:rowOff>
    </xdr:to>
    <xdr:sp macro="" textlink="">
      <xdr:nvSpPr>
        <xdr:cNvPr id="7" name="吹き出し: 四角形 6">
          <a:extLst>
            <a:ext uri="{FF2B5EF4-FFF2-40B4-BE49-F238E27FC236}">
              <a16:creationId xmlns:a16="http://schemas.microsoft.com/office/drawing/2014/main" id="{52F8271A-F390-453C-9DD2-46A8EDBD1F0F}"/>
            </a:ext>
          </a:extLst>
        </xdr:cNvPr>
        <xdr:cNvSpPr/>
      </xdr:nvSpPr>
      <xdr:spPr>
        <a:xfrm>
          <a:off x="15004677" y="12035118"/>
          <a:ext cx="3156858" cy="1496787"/>
        </a:xfrm>
        <a:prstGeom prst="wedgeRectCallout">
          <a:avLst>
            <a:gd name="adj1" fmla="val -59862"/>
            <a:gd name="adj2" fmla="val 46500"/>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①給与を現金支給するときは、給与天引きする源泉税、雇用保険料、積立金等を</a:t>
          </a:r>
          <a:r>
            <a:rPr kumimoji="1" lang="en-US" altLang="ja-JP" sz="1200"/>
            <a:t>(</a:t>
          </a:r>
          <a:r>
            <a:rPr kumimoji="1" lang="ja-JP" altLang="en-US" sz="1200"/>
            <a:t>　</a:t>
          </a:r>
          <a:r>
            <a:rPr kumimoji="1" lang="en-US" altLang="ja-JP" sz="1200"/>
            <a:t>)</a:t>
          </a:r>
          <a:r>
            <a:rPr kumimoji="1" lang="ja-JP" altLang="en-US" sz="1200"/>
            <a:t>をつけて記入します。②現金払いでなく、通帳から振込の場合は、天引前の総支給額を預金の欄に記入します</a:t>
          </a:r>
        </a:p>
      </xdr:txBody>
    </xdr:sp>
    <xdr:clientData/>
  </xdr:twoCellAnchor>
  <xdr:twoCellAnchor>
    <xdr:from>
      <xdr:col>20</xdr:col>
      <xdr:colOff>305281</xdr:colOff>
      <xdr:row>37</xdr:row>
      <xdr:rowOff>343700</xdr:rowOff>
    </xdr:from>
    <xdr:to>
      <xdr:col>24</xdr:col>
      <xdr:colOff>411418</xdr:colOff>
      <xdr:row>39</xdr:row>
      <xdr:rowOff>183297</xdr:rowOff>
    </xdr:to>
    <xdr:sp macro="" textlink="">
      <xdr:nvSpPr>
        <xdr:cNvPr id="8" name="吹き出し: 四角形 7">
          <a:extLst>
            <a:ext uri="{FF2B5EF4-FFF2-40B4-BE49-F238E27FC236}">
              <a16:creationId xmlns:a16="http://schemas.microsoft.com/office/drawing/2014/main" id="{90E22E54-3EFE-4013-BA8A-7033E3CA9904}"/>
            </a:ext>
          </a:extLst>
        </xdr:cNvPr>
        <xdr:cNvSpPr/>
      </xdr:nvSpPr>
      <xdr:spPr>
        <a:xfrm>
          <a:off x="15041016" y="13790759"/>
          <a:ext cx="3154137" cy="691244"/>
        </a:xfrm>
        <a:prstGeom prst="wedgeRectCallout">
          <a:avLst>
            <a:gd name="adj1" fmla="val -59025"/>
            <a:gd name="adj2" fmla="val -24286"/>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上記①現金支給の場合は、天引き後の現金で渡した金額を記入します</a:t>
          </a:r>
        </a:p>
      </xdr:txBody>
    </xdr:sp>
    <xdr:clientData/>
  </xdr:twoCellAnchor>
  <xdr:twoCellAnchor>
    <xdr:from>
      <xdr:col>5</xdr:col>
      <xdr:colOff>429025</xdr:colOff>
      <xdr:row>61</xdr:row>
      <xdr:rowOff>224116</xdr:rowOff>
    </xdr:from>
    <xdr:to>
      <xdr:col>11</xdr:col>
      <xdr:colOff>665151</xdr:colOff>
      <xdr:row>65</xdr:row>
      <xdr:rowOff>289752</xdr:rowOff>
    </xdr:to>
    <xdr:sp macro="" textlink="">
      <xdr:nvSpPr>
        <xdr:cNvPr id="9" name="吹き出し: 四角形 8">
          <a:extLst>
            <a:ext uri="{FF2B5EF4-FFF2-40B4-BE49-F238E27FC236}">
              <a16:creationId xmlns:a16="http://schemas.microsoft.com/office/drawing/2014/main" id="{C90533BF-AB13-4CA7-9D30-CEE549941FF8}"/>
            </a:ext>
          </a:extLst>
        </xdr:cNvPr>
        <xdr:cNvSpPr/>
      </xdr:nvSpPr>
      <xdr:spPr>
        <a:xfrm>
          <a:off x="4474349" y="23890940"/>
          <a:ext cx="4068537" cy="1768930"/>
        </a:xfrm>
        <a:prstGeom prst="wedgeRectCallout">
          <a:avLst>
            <a:gd name="adj1" fmla="val -60104"/>
            <a:gd name="adj2" fmla="val 10057"/>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商品券やキャッシュレス決済で払われた売上は、現金でないので預金に記帳します</a:t>
          </a:r>
          <a:endParaRPr kumimoji="1" lang="en-US" altLang="ja-JP" sz="1200"/>
        </a:p>
        <a:p>
          <a:pPr algn="l"/>
          <a:r>
            <a:rPr kumimoji="1" lang="ja-JP" altLang="en-US" sz="1200"/>
            <a:t>商品券やキャッシュレス分が預金に入金になった時や、商品券を換金した時は、売上に記帳しません。手数料を差し引かれる場合は、雑費の欄に記入します</a:t>
          </a:r>
        </a:p>
      </xdr:txBody>
    </xdr:sp>
    <xdr:clientData/>
  </xdr:twoCellAnchor>
  <xdr:twoCellAnchor>
    <xdr:from>
      <xdr:col>8</xdr:col>
      <xdr:colOff>481853</xdr:colOff>
      <xdr:row>69</xdr:row>
      <xdr:rowOff>195304</xdr:rowOff>
    </xdr:from>
    <xdr:to>
      <xdr:col>15</xdr:col>
      <xdr:colOff>190500</xdr:colOff>
      <xdr:row>70</xdr:row>
      <xdr:rowOff>164089</xdr:rowOff>
    </xdr:to>
    <xdr:sp macro="" textlink="">
      <xdr:nvSpPr>
        <xdr:cNvPr id="10" name="吹き出し: 四角形 9">
          <a:extLst>
            <a:ext uri="{FF2B5EF4-FFF2-40B4-BE49-F238E27FC236}">
              <a16:creationId xmlns:a16="http://schemas.microsoft.com/office/drawing/2014/main" id="{419ADE95-F425-454C-BD35-71BE219899B0}"/>
            </a:ext>
          </a:extLst>
        </xdr:cNvPr>
        <xdr:cNvSpPr/>
      </xdr:nvSpPr>
      <xdr:spPr>
        <a:xfrm>
          <a:off x="6073588" y="27268716"/>
          <a:ext cx="5042647" cy="394608"/>
        </a:xfrm>
        <a:prstGeom prst="wedgeRectCallout">
          <a:avLst>
            <a:gd name="adj1" fmla="val -35991"/>
            <a:gd name="adj2" fmla="val 127590"/>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縦の集計では現金だけでなく、預金も含めた金額の合計を算出します</a:t>
          </a:r>
        </a:p>
      </xdr:txBody>
    </xdr:sp>
    <xdr:clientData/>
  </xdr:twoCellAnchor>
  <xdr:twoCellAnchor>
    <xdr:from>
      <xdr:col>22</xdr:col>
      <xdr:colOff>560295</xdr:colOff>
      <xdr:row>9</xdr:row>
      <xdr:rowOff>134471</xdr:rowOff>
    </xdr:from>
    <xdr:to>
      <xdr:col>28</xdr:col>
      <xdr:colOff>34418</xdr:colOff>
      <xdr:row>11</xdr:row>
      <xdr:rowOff>246529</xdr:rowOff>
    </xdr:to>
    <xdr:sp macro="" textlink="">
      <xdr:nvSpPr>
        <xdr:cNvPr id="15" name="吹き出し: 四角形 14">
          <a:extLst>
            <a:ext uri="{FF2B5EF4-FFF2-40B4-BE49-F238E27FC236}">
              <a16:creationId xmlns:a16="http://schemas.microsoft.com/office/drawing/2014/main" id="{C5EB9EBA-7189-4FD7-A90D-3BEFE583C9D0}"/>
            </a:ext>
          </a:extLst>
        </xdr:cNvPr>
        <xdr:cNvSpPr/>
      </xdr:nvSpPr>
      <xdr:spPr>
        <a:xfrm>
          <a:off x="16820030" y="1658471"/>
          <a:ext cx="3306535" cy="963705"/>
        </a:xfrm>
        <a:prstGeom prst="wedgeRectCallout">
          <a:avLst>
            <a:gd name="adj1" fmla="val 58966"/>
            <a:gd name="adj2" fmla="val -21297"/>
          </a:avLst>
        </a:prstGeom>
        <a:solidFill>
          <a:schemeClr val="bg1"/>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t>現金取引分だけ足し引きして現金残高を算出しています。日々の手持ち現金の金額と合っているか確認して下さい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60932-BE43-48CC-9A94-E2D5C3EB4EDD}">
  <dimension ref="A2:D3"/>
  <sheetViews>
    <sheetView workbookViewId="0">
      <selection activeCell="D3" sqref="D3"/>
    </sheetView>
  </sheetViews>
  <sheetFormatPr defaultRowHeight="18.75"/>
  <cols>
    <col min="1" max="1" width="15" customWidth="1"/>
    <col min="2" max="2" width="5.625" customWidth="1"/>
    <col min="3" max="3" width="12" customWidth="1"/>
    <col min="4" max="4" width="79.125" customWidth="1"/>
  </cols>
  <sheetData>
    <row r="2" spans="1:4" ht="40.5" customHeight="1">
      <c r="A2" t="s">
        <v>361</v>
      </c>
      <c r="C2" s="271" t="s">
        <v>362</v>
      </c>
      <c r="D2" t="s">
        <v>360</v>
      </c>
    </row>
    <row r="3" spans="1:4">
      <c r="A3" s="270">
        <v>1</v>
      </c>
      <c r="C3" t="s">
        <v>359</v>
      </c>
      <c r="D3" t="s">
        <v>363</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1FBC3-E258-4742-8CE2-FFFCBCC1EFC0}">
  <dimension ref="A1:AC71"/>
  <sheetViews>
    <sheetView zoomScale="50" zoomScaleNormal="50" workbookViewId="0">
      <pane xSplit="4" ySplit="9" topLeftCell="E64" activePane="bottomRight" state="frozen"/>
      <selection activeCell="E10" sqref="E10:AA71"/>
      <selection pane="topRight" activeCell="E10" sqref="E10:AA71"/>
      <selection pane="bottomLeft" activeCell="E10" sqref="E10:AA71"/>
      <selection pane="bottomRight" activeCell="E11" sqref="E11:AA11"/>
    </sheetView>
  </sheetViews>
  <sheetFormatPr defaultRowHeight="33.75" customHeight="1"/>
  <cols>
    <col min="1" max="1" width="3.625" customWidth="1"/>
    <col min="2" max="2" width="34.375" customWidth="1"/>
    <col min="3" max="3" width="0.375" customWidth="1"/>
    <col min="4" max="4" width="4.625" customWidth="1"/>
    <col min="5" max="7" width="10" customWidth="1"/>
    <col min="8" max="8" width="0.25" customWidth="1"/>
    <col min="9" max="22" width="10" customWidth="1"/>
    <col min="23" max="24" width="10" style="17" customWidth="1"/>
    <col min="25" max="27" width="10" customWidth="1"/>
    <col min="28" max="28" width="0.25" customWidth="1"/>
    <col min="29" max="29" width="14" customWidth="1"/>
  </cols>
  <sheetData>
    <row r="1" spans="1:29" ht="26.25" customHeight="1" thickBot="1">
      <c r="B1" s="4"/>
    </row>
    <row r="2" spans="1:29" ht="15" customHeight="1">
      <c r="A2" s="377" t="s">
        <v>24</v>
      </c>
      <c r="B2" s="380" t="s">
        <v>334</v>
      </c>
      <c r="C2" s="383"/>
      <c r="D2" s="355" t="s">
        <v>189</v>
      </c>
      <c r="E2" s="356"/>
      <c r="F2" s="356"/>
      <c r="G2" s="356"/>
      <c r="H2" s="386"/>
      <c r="I2" s="355" t="s">
        <v>188</v>
      </c>
      <c r="J2" s="356"/>
      <c r="K2" s="356"/>
      <c r="L2" s="356"/>
      <c r="M2" s="356"/>
      <c r="N2" s="356"/>
      <c r="O2" s="356"/>
      <c r="P2" s="356"/>
      <c r="Q2" s="356"/>
      <c r="R2" s="356"/>
      <c r="S2" s="356"/>
      <c r="T2" s="356"/>
      <c r="U2" s="356"/>
      <c r="V2" s="356"/>
      <c r="W2" s="356"/>
      <c r="X2" s="356"/>
      <c r="Y2" s="356"/>
      <c r="Z2" s="356"/>
      <c r="AA2" s="356"/>
      <c r="AB2" s="424"/>
      <c r="AC2" s="445" t="s">
        <v>265</v>
      </c>
    </row>
    <row r="3" spans="1:29" ht="18.75" customHeight="1">
      <c r="A3" s="378"/>
      <c r="B3" s="381"/>
      <c r="C3" s="384"/>
      <c r="D3" s="358"/>
      <c r="E3" s="359"/>
      <c r="F3" s="359"/>
      <c r="G3" s="359"/>
      <c r="H3" s="387"/>
      <c r="I3" s="358"/>
      <c r="J3" s="359"/>
      <c r="K3" s="359"/>
      <c r="L3" s="359"/>
      <c r="M3" s="359"/>
      <c r="N3" s="359"/>
      <c r="O3" s="359"/>
      <c r="P3" s="359"/>
      <c r="Q3" s="359"/>
      <c r="R3" s="359"/>
      <c r="S3" s="359"/>
      <c r="T3" s="359"/>
      <c r="U3" s="359"/>
      <c r="V3" s="359"/>
      <c r="W3" s="359"/>
      <c r="X3" s="359"/>
      <c r="Y3" s="359"/>
      <c r="Z3" s="359"/>
      <c r="AA3" s="359"/>
      <c r="AB3" s="425"/>
      <c r="AC3" s="446"/>
    </row>
    <row r="4" spans="1:29" ht="11.25" customHeight="1">
      <c r="A4" s="378"/>
      <c r="B4" s="382"/>
      <c r="C4" s="385"/>
      <c r="D4" s="361"/>
      <c r="E4" s="362"/>
      <c r="F4" s="362"/>
      <c r="G4" s="362"/>
      <c r="H4" s="388"/>
      <c r="I4" s="361"/>
      <c r="J4" s="362"/>
      <c r="K4" s="362"/>
      <c r="L4" s="362"/>
      <c r="M4" s="362"/>
      <c r="N4" s="362"/>
      <c r="O4" s="362"/>
      <c r="P4" s="362"/>
      <c r="Q4" s="362"/>
      <c r="R4" s="362"/>
      <c r="S4" s="362"/>
      <c r="T4" s="362"/>
      <c r="U4" s="362"/>
      <c r="V4" s="362"/>
      <c r="W4" s="362"/>
      <c r="X4" s="362"/>
      <c r="Y4" s="362"/>
      <c r="Z4" s="362"/>
      <c r="AA4" s="362"/>
      <c r="AB4" s="434"/>
      <c r="AC4" s="447" t="s">
        <v>49</v>
      </c>
    </row>
    <row r="5" spans="1:29" ht="2.25" customHeight="1">
      <c r="A5" s="378"/>
      <c r="B5" s="38"/>
      <c r="C5" s="3"/>
      <c r="D5" s="204"/>
      <c r="E5" s="397"/>
      <c r="F5" s="398"/>
      <c r="G5" s="398"/>
      <c r="H5" s="3"/>
      <c r="I5" s="397"/>
      <c r="J5" s="398"/>
      <c r="K5" s="398"/>
      <c r="L5" s="398"/>
      <c r="M5" s="398"/>
      <c r="N5" s="398"/>
      <c r="O5" s="398"/>
      <c r="P5" s="398"/>
      <c r="Q5" s="398"/>
      <c r="R5" s="398"/>
      <c r="S5" s="398"/>
      <c r="T5" s="398"/>
      <c r="U5" s="398"/>
      <c r="V5" s="398"/>
      <c r="W5" s="398"/>
      <c r="X5" s="398"/>
      <c r="Y5" s="398"/>
      <c r="Z5" s="398"/>
      <c r="AA5" s="398"/>
      <c r="AB5" s="435"/>
      <c r="AC5" s="448"/>
    </row>
    <row r="6" spans="1:29" s="201" customFormat="1" ht="15" customHeight="1">
      <c r="A6" s="378"/>
      <c r="B6" s="389" t="s">
        <v>51</v>
      </c>
      <c r="C6" s="391"/>
      <c r="D6" s="391"/>
      <c r="E6" s="391" t="s">
        <v>26</v>
      </c>
      <c r="F6" s="391" t="str">
        <f>雑収入</f>
        <v>雑収入</v>
      </c>
      <c r="G6" s="444" t="s">
        <v>27</v>
      </c>
      <c r="H6" s="391"/>
      <c r="I6" s="199" t="s">
        <v>28</v>
      </c>
      <c r="J6" s="391" t="str">
        <f>租税公課</f>
        <v>租税公課</v>
      </c>
      <c r="K6" s="391" t="s">
        <v>101</v>
      </c>
      <c r="L6" s="391" t="s">
        <v>6</v>
      </c>
      <c r="M6" s="364" t="str">
        <f>通信費</f>
        <v>通信費</v>
      </c>
      <c r="N6" s="391" t="s">
        <v>8</v>
      </c>
      <c r="O6" s="391" t="s">
        <v>9</v>
      </c>
      <c r="P6" s="391" t="s">
        <v>10</v>
      </c>
      <c r="Q6" s="364" t="str">
        <f>修繕費</f>
        <v>修繕費</v>
      </c>
      <c r="R6" s="391" t="str">
        <f>消耗品費</f>
        <v>消耗品費</v>
      </c>
      <c r="S6" s="391" t="s">
        <v>97</v>
      </c>
      <c r="T6" s="391" t="str">
        <f>給料賃金</f>
        <v>給料賃金</v>
      </c>
      <c r="U6" s="391" t="str">
        <f>外注工賃</f>
        <v>外注工賃</v>
      </c>
      <c r="V6" s="391" t="s">
        <v>16</v>
      </c>
      <c r="W6" s="364" t="str">
        <f>車両費</f>
        <v>車両費</v>
      </c>
      <c r="X6" s="484" t="str">
        <f>空欄1</f>
        <v>空欄1</v>
      </c>
      <c r="Y6" s="391" t="str">
        <f>空欄2</f>
        <v>空欄2</v>
      </c>
      <c r="Z6" s="391" t="str">
        <f>雑費</f>
        <v>雑費</v>
      </c>
      <c r="AA6" s="200" t="s">
        <v>143</v>
      </c>
      <c r="AB6" s="425"/>
      <c r="AC6" s="446"/>
    </row>
    <row r="7" spans="1:29" s="201" customFormat="1" ht="7.5" customHeight="1">
      <c r="A7" s="378"/>
      <c r="B7" s="387"/>
      <c r="C7" s="392"/>
      <c r="D7" s="392"/>
      <c r="E7" s="392"/>
      <c r="F7" s="392"/>
      <c r="G7" s="426"/>
      <c r="H7" s="392"/>
      <c r="I7" s="366" t="s">
        <v>38</v>
      </c>
      <c r="J7" s="392"/>
      <c r="K7" s="392"/>
      <c r="L7" s="392"/>
      <c r="M7" s="366"/>
      <c r="N7" s="392"/>
      <c r="O7" s="392"/>
      <c r="P7" s="392"/>
      <c r="Q7" s="366"/>
      <c r="R7" s="392"/>
      <c r="S7" s="392"/>
      <c r="T7" s="392"/>
      <c r="U7" s="392"/>
      <c r="V7" s="392"/>
      <c r="W7" s="366"/>
      <c r="X7" s="485"/>
      <c r="Y7" s="392"/>
      <c r="Z7" s="392"/>
      <c r="AA7" s="426" t="s">
        <v>98</v>
      </c>
      <c r="AB7" s="391"/>
      <c r="AC7" s="489">
        <f>繰越・3月</f>
        <v>0</v>
      </c>
    </row>
    <row r="8" spans="1:29" s="201" customFormat="1" ht="7.5" customHeight="1">
      <c r="A8" s="378"/>
      <c r="B8" s="387"/>
      <c r="C8" s="392"/>
      <c r="D8" s="392"/>
      <c r="E8" s="392" t="s">
        <v>36</v>
      </c>
      <c r="F8" s="392"/>
      <c r="G8" s="426" t="s">
        <v>37</v>
      </c>
      <c r="H8" s="392"/>
      <c r="I8" s="366"/>
      <c r="J8" s="392"/>
      <c r="K8" s="392"/>
      <c r="L8" s="392"/>
      <c r="M8" s="366"/>
      <c r="N8" s="392"/>
      <c r="O8" s="392"/>
      <c r="P8" s="392"/>
      <c r="Q8" s="366"/>
      <c r="R8" s="392"/>
      <c r="S8" s="392"/>
      <c r="T8" s="392"/>
      <c r="U8" s="392"/>
      <c r="V8" s="392"/>
      <c r="W8" s="366"/>
      <c r="X8" s="485"/>
      <c r="Y8" s="392"/>
      <c r="Z8" s="392"/>
      <c r="AA8" s="426"/>
      <c r="AB8" s="392"/>
      <c r="AC8" s="490"/>
    </row>
    <row r="9" spans="1:29" s="201" customFormat="1" ht="15" customHeight="1" thickBot="1">
      <c r="A9" s="379"/>
      <c r="B9" s="390"/>
      <c r="C9" s="393"/>
      <c r="D9" s="393"/>
      <c r="E9" s="393"/>
      <c r="F9" s="393"/>
      <c r="G9" s="416"/>
      <c r="H9" s="393"/>
      <c r="I9" s="202" t="s">
        <v>50</v>
      </c>
      <c r="J9" s="393"/>
      <c r="K9" s="393"/>
      <c r="L9" s="393"/>
      <c r="M9" s="368"/>
      <c r="N9" s="393"/>
      <c r="O9" s="393"/>
      <c r="P9" s="393"/>
      <c r="Q9" s="368"/>
      <c r="R9" s="393"/>
      <c r="S9" s="393"/>
      <c r="T9" s="393"/>
      <c r="U9" s="393"/>
      <c r="V9" s="393"/>
      <c r="W9" s="368"/>
      <c r="X9" s="486"/>
      <c r="Y9" s="393"/>
      <c r="Z9" s="393"/>
      <c r="AA9" s="203" t="s">
        <v>231</v>
      </c>
      <c r="AB9" s="392"/>
      <c r="AC9" s="490"/>
    </row>
    <row r="10" spans="1:29" s="7" customFormat="1" ht="33.75" customHeight="1">
      <c r="A10" s="455">
        <v>1</v>
      </c>
      <c r="B10" s="481"/>
      <c r="C10" s="13"/>
      <c r="D10" s="273" t="s">
        <v>177</v>
      </c>
      <c r="E10" s="216"/>
      <c r="F10" s="217"/>
      <c r="G10" s="217"/>
      <c r="H10" s="218"/>
      <c r="I10" s="217"/>
      <c r="J10" s="218"/>
      <c r="K10" s="217"/>
      <c r="L10" s="218"/>
      <c r="M10" s="217"/>
      <c r="N10" s="218"/>
      <c r="O10" s="217"/>
      <c r="P10" s="218"/>
      <c r="Q10" s="217"/>
      <c r="R10" s="218"/>
      <c r="S10" s="217"/>
      <c r="T10" s="218"/>
      <c r="U10" s="217"/>
      <c r="V10" s="217"/>
      <c r="W10" s="217"/>
      <c r="X10" s="219"/>
      <c r="Y10" s="217"/>
      <c r="Z10" s="217"/>
      <c r="AA10" s="217"/>
      <c r="AB10" s="196"/>
      <c r="AC10" s="460">
        <f>SUM($E11:$G11)-SUM($I11:$AA11)+$AC$7</f>
        <v>0</v>
      </c>
    </row>
    <row r="11" spans="1:29" s="7" customFormat="1" ht="33.75" customHeight="1" thickBot="1">
      <c r="A11" s="459"/>
      <c r="B11" s="487"/>
      <c r="C11" s="15"/>
      <c r="D11" s="274" t="s">
        <v>105</v>
      </c>
      <c r="E11" s="277"/>
      <c r="F11" s="278"/>
      <c r="G11" s="278"/>
      <c r="H11" s="276"/>
      <c r="I11" s="278"/>
      <c r="J11" s="276"/>
      <c r="K11" s="278"/>
      <c r="L11" s="276"/>
      <c r="M11" s="278"/>
      <c r="N11" s="276"/>
      <c r="O11" s="278"/>
      <c r="P11" s="276"/>
      <c r="Q11" s="278"/>
      <c r="R11" s="276"/>
      <c r="S11" s="278"/>
      <c r="T11" s="276"/>
      <c r="U11" s="278"/>
      <c r="V11" s="278"/>
      <c r="W11" s="278"/>
      <c r="X11" s="284"/>
      <c r="Y11" s="278"/>
      <c r="Z11" s="278"/>
      <c r="AA11" s="278"/>
      <c r="AB11" s="197"/>
      <c r="AC11" s="454"/>
    </row>
    <row r="12" spans="1:29" s="7" customFormat="1" ht="33.75" customHeight="1">
      <c r="A12" s="449">
        <v>2</v>
      </c>
      <c r="B12" s="483"/>
      <c r="C12" s="13"/>
      <c r="D12" s="273" t="s">
        <v>177</v>
      </c>
      <c r="E12" s="216"/>
      <c r="F12" s="217"/>
      <c r="G12" s="217"/>
      <c r="H12" s="218"/>
      <c r="I12" s="218"/>
      <c r="J12" s="218"/>
      <c r="K12" s="218"/>
      <c r="L12" s="218"/>
      <c r="M12" s="218"/>
      <c r="N12" s="218"/>
      <c r="O12" s="218"/>
      <c r="P12" s="218"/>
      <c r="Q12" s="218"/>
      <c r="R12" s="218"/>
      <c r="S12" s="218"/>
      <c r="T12" s="218"/>
      <c r="U12" s="218"/>
      <c r="V12" s="218"/>
      <c r="W12" s="218"/>
      <c r="X12" s="221"/>
      <c r="Y12" s="218"/>
      <c r="Z12" s="218"/>
      <c r="AA12" s="218"/>
      <c r="AB12" s="196"/>
      <c r="AC12" s="453">
        <f>SUM($E13:$G13)-SUM($I13:$AA13)+$AC10</f>
        <v>0</v>
      </c>
    </row>
    <row r="13" spans="1:29" s="7" customFormat="1" ht="33.75" customHeight="1" thickBot="1">
      <c r="A13" s="450"/>
      <c r="B13" s="482"/>
      <c r="C13" s="15"/>
      <c r="D13" s="274" t="s">
        <v>105</v>
      </c>
      <c r="E13" s="277"/>
      <c r="F13" s="278"/>
      <c r="G13" s="278"/>
      <c r="H13" s="276"/>
      <c r="I13" s="276"/>
      <c r="J13" s="276"/>
      <c r="K13" s="276"/>
      <c r="L13" s="276"/>
      <c r="M13" s="276"/>
      <c r="N13" s="276"/>
      <c r="O13" s="276"/>
      <c r="P13" s="276"/>
      <c r="Q13" s="276"/>
      <c r="R13" s="276"/>
      <c r="S13" s="276"/>
      <c r="T13" s="276"/>
      <c r="U13" s="276"/>
      <c r="V13" s="276"/>
      <c r="W13" s="276"/>
      <c r="X13" s="279"/>
      <c r="Y13" s="276"/>
      <c r="Z13" s="276"/>
      <c r="AA13" s="276"/>
      <c r="AB13" s="197"/>
      <c r="AC13" s="454"/>
    </row>
    <row r="14" spans="1:29" s="7" customFormat="1" ht="33.75" customHeight="1">
      <c r="A14" s="455">
        <v>3</v>
      </c>
      <c r="B14" s="481"/>
      <c r="C14" s="13"/>
      <c r="D14" s="273" t="s">
        <v>177</v>
      </c>
      <c r="E14" s="216"/>
      <c r="F14" s="217"/>
      <c r="G14" s="217"/>
      <c r="H14" s="218"/>
      <c r="I14" s="218"/>
      <c r="J14" s="218"/>
      <c r="K14" s="218"/>
      <c r="L14" s="218"/>
      <c r="M14" s="218"/>
      <c r="N14" s="218"/>
      <c r="O14" s="218"/>
      <c r="P14" s="218"/>
      <c r="Q14" s="218"/>
      <c r="R14" s="218"/>
      <c r="S14" s="218"/>
      <c r="T14" s="218"/>
      <c r="U14" s="218"/>
      <c r="V14" s="218"/>
      <c r="W14" s="218"/>
      <c r="X14" s="221"/>
      <c r="Y14" s="218"/>
      <c r="Z14" s="218"/>
      <c r="AA14" s="218"/>
      <c r="AB14" s="196"/>
      <c r="AC14" s="453">
        <f>SUM($E15:$G15)-SUM($I15:$AA15)+$AC12</f>
        <v>0</v>
      </c>
    </row>
    <row r="15" spans="1:29" s="7" customFormat="1" ht="33.75" customHeight="1" thickBot="1">
      <c r="A15" s="456"/>
      <c r="B15" s="482"/>
      <c r="C15" s="15"/>
      <c r="D15" s="274" t="s">
        <v>105</v>
      </c>
      <c r="E15" s="277"/>
      <c r="F15" s="278"/>
      <c r="G15" s="278"/>
      <c r="H15" s="276"/>
      <c r="I15" s="276"/>
      <c r="J15" s="276"/>
      <c r="K15" s="276"/>
      <c r="L15" s="276"/>
      <c r="M15" s="276"/>
      <c r="N15" s="276"/>
      <c r="O15" s="276"/>
      <c r="P15" s="276"/>
      <c r="Q15" s="276"/>
      <c r="R15" s="276"/>
      <c r="S15" s="276"/>
      <c r="T15" s="276"/>
      <c r="U15" s="276"/>
      <c r="V15" s="276"/>
      <c r="W15" s="276"/>
      <c r="X15" s="279"/>
      <c r="Y15" s="276"/>
      <c r="Z15" s="276"/>
      <c r="AA15" s="276"/>
      <c r="AB15" s="197"/>
      <c r="AC15" s="454"/>
    </row>
    <row r="16" spans="1:29" s="7" customFormat="1" ht="33.75" customHeight="1">
      <c r="A16" s="464">
        <v>4</v>
      </c>
      <c r="B16" s="481"/>
      <c r="C16" s="13"/>
      <c r="D16" s="273" t="s">
        <v>177</v>
      </c>
      <c r="E16" s="216"/>
      <c r="F16" s="217"/>
      <c r="G16" s="217"/>
      <c r="H16" s="218"/>
      <c r="I16" s="218"/>
      <c r="J16" s="218"/>
      <c r="K16" s="218"/>
      <c r="L16" s="218"/>
      <c r="M16" s="218"/>
      <c r="N16" s="218"/>
      <c r="O16" s="218"/>
      <c r="P16" s="218"/>
      <c r="Q16" s="218"/>
      <c r="R16" s="218"/>
      <c r="S16" s="218"/>
      <c r="T16" s="218"/>
      <c r="U16" s="218"/>
      <c r="V16" s="218"/>
      <c r="W16" s="218"/>
      <c r="X16" s="221"/>
      <c r="Y16" s="218"/>
      <c r="Z16" s="218"/>
      <c r="AA16" s="218"/>
      <c r="AB16" s="196"/>
      <c r="AC16" s="453">
        <f t="shared" ref="AC16" si="0">SUM($E17:$G17)-SUM($I17:$AA17)+$AC14</f>
        <v>0</v>
      </c>
    </row>
    <row r="17" spans="1:29" s="7" customFormat="1" ht="33.75" customHeight="1" thickBot="1">
      <c r="A17" s="450"/>
      <c r="B17" s="482"/>
      <c r="C17" s="15"/>
      <c r="D17" s="274" t="s">
        <v>105</v>
      </c>
      <c r="E17" s="277"/>
      <c r="F17" s="278"/>
      <c r="G17" s="278"/>
      <c r="H17" s="276"/>
      <c r="I17" s="276"/>
      <c r="J17" s="276"/>
      <c r="K17" s="276"/>
      <c r="L17" s="276"/>
      <c r="M17" s="276"/>
      <c r="N17" s="276"/>
      <c r="O17" s="276"/>
      <c r="P17" s="276"/>
      <c r="Q17" s="276"/>
      <c r="R17" s="276"/>
      <c r="S17" s="276"/>
      <c r="T17" s="276"/>
      <c r="U17" s="276"/>
      <c r="V17" s="276"/>
      <c r="W17" s="276"/>
      <c r="X17" s="279"/>
      <c r="Y17" s="276"/>
      <c r="Z17" s="276"/>
      <c r="AA17" s="276"/>
      <c r="AB17" s="197"/>
      <c r="AC17" s="454"/>
    </row>
    <row r="18" spans="1:29" s="7" customFormat="1" ht="33.75" customHeight="1">
      <c r="A18" s="455">
        <v>5</v>
      </c>
      <c r="B18" s="481"/>
      <c r="C18" s="13"/>
      <c r="D18" s="273" t="s">
        <v>177</v>
      </c>
      <c r="E18" s="216"/>
      <c r="F18" s="217"/>
      <c r="G18" s="217"/>
      <c r="H18" s="218"/>
      <c r="I18" s="218"/>
      <c r="J18" s="218"/>
      <c r="K18" s="218"/>
      <c r="L18" s="218"/>
      <c r="M18" s="218"/>
      <c r="N18" s="218"/>
      <c r="O18" s="218"/>
      <c r="P18" s="218"/>
      <c r="Q18" s="218"/>
      <c r="R18" s="218"/>
      <c r="S18" s="218"/>
      <c r="T18" s="218"/>
      <c r="U18" s="218"/>
      <c r="V18" s="218"/>
      <c r="W18" s="218"/>
      <c r="X18" s="221"/>
      <c r="Y18" s="218"/>
      <c r="Z18" s="218"/>
      <c r="AA18" s="218"/>
      <c r="AB18" s="196"/>
      <c r="AC18" s="453">
        <f t="shared" ref="AC18" si="1">SUM($E19:$G19)-SUM($I19:$AA19)+$AC16</f>
        <v>0</v>
      </c>
    </row>
    <row r="19" spans="1:29" s="7" customFormat="1" ht="33.75" customHeight="1" thickBot="1">
      <c r="A19" s="456"/>
      <c r="B19" s="482"/>
      <c r="C19" s="15"/>
      <c r="D19" s="274" t="s">
        <v>105</v>
      </c>
      <c r="E19" s="277"/>
      <c r="F19" s="278"/>
      <c r="G19" s="278"/>
      <c r="H19" s="276"/>
      <c r="I19" s="276"/>
      <c r="J19" s="276"/>
      <c r="K19" s="276"/>
      <c r="L19" s="276"/>
      <c r="M19" s="276"/>
      <c r="N19" s="276"/>
      <c r="O19" s="276"/>
      <c r="P19" s="276"/>
      <c r="Q19" s="276"/>
      <c r="R19" s="276"/>
      <c r="S19" s="276"/>
      <c r="T19" s="276"/>
      <c r="U19" s="276"/>
      <c r="V19" s="276"/>
      <c r="W19" s="276"/>
      <c r="X19" s="279"/>
      <c r="Y19" s="276"/>
      <c r="Z19" s="276"/>
      <c r="AA19" s="276"/>
      <c r="AB19" s="197"/>
      <c r="AC19" s="454"/>
    </row>
    <row r="20" spans="1:29" s="7" customFormat="1" ht="33.75" customHeight="1">
      <c r="A20" s="464">
        <v>6</v>
      </c>
      <c r="B20" s="481"/>
      <c r="C20" s="13"/>
      <c r="D20" s="273" t="s">
        <v>177</v>
      </c>
      <c r="E20" s="216"/>
      <c r="F20" s="217"/>
      <c r="G20" s="217"/>
      <c r="H20" s="218"/>
      <c r="I20" s="218"/>
      <c r="J20" s="218"/>
      <c r="K20" s="218"/>
      <c r="L20" s="218"/>
      <c r="M20" s="218"/>
      <c r="N20" s="218"/>
      <c r="O20" s="218"/>
      <c r="P20" s="218"/>
      <c r="Q20" s="218"/>
      <c r="R20" s="218"/>
      <c r="S20" s="218"/>
      <c r="T20" s="218"/>
      <c r="U20" s="218"/>
      <c r="V20" s="218"/>
      <c r="W20" s="218"/>
      <c r="X20" s="221"/>
      <c r="Y20" s="218"/>
      <c r="Z20" s="218"/>
      <c r="AA20" s="218"/>
      <c r="AB20" s="196"/>
      <c r="AC20" s="453">
        <f t="shared" ref="AC20" si="2">SUM($E21:$G21)-SUM($I21:$AA21)+$AC18</f>
        <v>0</v>
      </c>
    </row>
    <row r="21" spans="1:29" s="7" customFormat="1" ht="33.75" customHeight="1" thickBot="1">
      <c r="A21" s="450"/>
      <c r="B21" s="482"/>
      <c r="C21" s="15"/>
      <c r="D21" s="274" t="s">
        <v>105</v>
      </c>
      <c r="E21" s="277"/>
      <c r="F21" s="278"/>
      <c r="G21" s="278"/>
      <c r="H21" s="276"/>
      <c r="I21" s="276"/>
      <c r="J21" s="276"/>
      <c r="K21" s="276"/>
      <c r="L21" s="276"/>
      <c r="M21" s="276"/>
      <c r="N21" s="276"/>
      <c r="O21" s="276"/>
      <c r="P21" s="276"/>
      <c r="Q21" s="276"/>
      <c r="R21" s="276"/>
      <c r="S21" s="276"/>
      <c r="T21" s="276"/>
      <c r="U21" s="276"/>
      <c r="V21" s="276"/>
      <c r="W21" s="276"/>
      <c r="X21" s="279"/>
      <c r="Y21" s="276"/>
      <c r="Z21" s="276"/>
      <c r="AA21" s="276"/>
      <c r="AB21" s="197"/>
      <c r="AC21" s="454"/>
    </row>
    <row r="22" spans="1:29" s="7" customFormat="1" ht="33.75" customHeight="1">
      <c r="A22" s="455">
        <v>7</v>
      </c>
      <c r="B22" s="481"/>
      <c r="C22" s="13"/>
      <c r="D22" s="273" t="s">
        <v>177</v>
      </c>
      <c r="E22" s="216"/>
      <c r="F22" s="217"/>
      <c r="G22" s="217"/>
      <c r="H22" s="218"/>
      <c r="I22" s="218"/>
      <c r="J22" s="218"/>
      <c r="K22" s="218"/>
      <c r="L22" s="218"/>
      <c r="M22" s="218"/>
      <c r="N22" s="218"/>
      <c r="O22" s="218"/>
      <c r="P22" s="218"/>
      <c r="Q22" s="218"/>
      <c r="R22" s="218"/>
      <c r="S22" s="218"/>
      <c r="T22" s="218"/>
      <c r="U22" s="218"/>
      <c r="V22" s="218"/>
      <c r="W22" s="218"/>
      <c r="X22" s="221"/>
      <c r="Y22" s="218"/>
      <c r="Z22" s="218"/>
      <c r="AA22" s="218"/>
      <c r="AB22" s="196"/>
      <c r="AC22" s="453">
        <f t="shared" ref="AC22" si="3">SUM($E23:$G23)-SUM($I23:$AA23)+$AC20</f>
        <v>0</v>
      </c>
    </row>
    <row r="23" spans="1:29" s="7" customFormat="1" ht="33.75" customHeight="1" thickBot="1">
      <c r="A23" s="456"/>
      <c r="B23" s="482"/>
      <c r="C23" s="15"/>
      <c r="D23" s="274" t="s">
        <v>105</v>
      </c>
      <c r="E23" s="277"/>
      <c r="F23" s="278"/>
      <c r="G23" s="278"/>
      <c r="H23" s="276"/>
      <c r="I23" s="276"/>
      <c r="J23" s="276"/>
      <c r="K23" s="276"/>
      <c r="L23" s="276"/>
      <c r="M23" s="276"/>
      <c r="N23" s="276"/>
      <c r="O23" s="276"/>
      <c r="P23" s="276"/>
      <c r="Q23" s="276"/>
      <c r="R23" s="276"/>
      <c r="S23" s="276"/>
      <c r="T23" s="276"/>
      <c r="U23" s="276"/>
      <c r="V23" s="276"/>
      <c r="W23" s="276"/>
      <c r="X23" s="279"/>
      <c r="Y23" s="276"/>
      <c r="Z23" s="276"/>
      <c r="AA23" s="276"/>
      <c r="AB23" s="197"/>
      <c r="AC23" s="454"/>
    </row>
    <row r="24" spans="1:29" s="7" customFormat="1" ht="33.75" customHeight="1">
      <c r="A24" s="464">
        <v>8</v>
      </c>
      <c r="B24" s="481"/>
      <c r="C24" s="13"/>
      <c r="D24" s="273" t="s">
        <v>177</v>
      </c>
      <c r="E24" s="216"/>
      <c r="F24" s="217"/>
      <c r="G24" s="217"/>
      <c r="H24" s="218"/>
      <c r="I24" s="218"/>
      <c r="J24" s="218"/>
      <c r="K24" s="218"/>
      <c r="L24" s="218"/>
      <c r="M24" s="218"/>
      <c r="N24" s="218"/>
      <c r="O24" s="218"/>
      <c r="P24" s="218"/>
      <c r="Q24" s="218"/>
      <c r="R24" s="218"/>
      <c r="S24" s="218"/>
      <c r="T24" s="218"/>
      <c r="U24" s="218"/>
      <c r="V24" s="218"/>
      <c r="W24" s="218"/>
      <c r="X24" s="221"/>
      <c r="Y24" s="218"/>
      <c r="Z24" s="218"/>
      <c r="AA24" s="218"/>
      <c r="AB24" s="196"/>
      <c r="AC24" s="453">
        <f t="shared" ref="AC24" si="4">SUM($E25:$G25)-SUM($I25:$AA25)+$AC22</f>
        <v>0</v>
      </c>
    </row>
    <row r="25" spans="1:29" s="7" customFormat="1" ht="33.75" customHeight="1" thickBot="1">
      <c r="A25" s="450"/>
      <c r="B25" s="482"/>
      <c r="C25" s="15"/>
      <c r="D25" s="274" t="s">
        <v>105</v>
      </c>
      <c r="E25" s="277"/>
      <c r="F25" s="278"/>
      <c r="G25" s="278"/>
      <c r="H25" s="276"/>
      <c r="I25" s="276"/>
      <c r="J25" s="276"/>
      <c r="K25" s="276"/>
      <c r="L25" s="276"/>
      <c r="M25" s="276"/>
      <c r="N25" s="276"/>
      <c r="O25" s="276"/>
      <c r="P25" s="276"/>
      <c r="Q25" s="276"/>
      <c r="R25" s="276"/>
      <c r="S25" s="276"/>
      <c r="T25" s="276"/>
      <c r="U25" s="276"/>
      <c r="V25" s="276"/>
      <c r="W25" s="276"/>
      <c r="X25" s="279"/>
      <c r="Y25" s="276"/>
      <c r="Z25" s="276"/>
      <c r="AA25" s="276"/>
      <c r="AB25" s="197"/>
      <c r="AC25" s="454"/>
    </row>
    <row r="26" spans="1:29" s="7" customFormat="1" ht="33.75" customHeight="1">
      <c r="A26" s="455">
        <v>9</v>
      </c>
      <c r="B26" s="481"/>
      <c r="C26" s="13"/>
      <c r="D26" s="273" t="s">
        <v>177</v>
      </c>
      <c r="E26" s="216"/>
      <c r="F26" s="217"/>
      <c r="G26" s="217"/>
      <c r="H26" s="218"/>
      <c r="I26" s="218"/>
      <c r="J26" s="218"/>
      <c r="K26" s="218"/>
      <c r="L26" s="218"/>
      <c r="M26" s="218"/>
      <c r="N26" s="218"/>
      <c r="O26" s="218"/>
      <c r="P26" s="218"/>
      <c r="Q26" s="218"/>
      <c r="R26" s="218"/>
      <c r="S26" s="218"/>
      <c r="T26" s="218"/>
      <c r="U26" s="218"/>
      <c r="V26" s="218"/>
      <c r="W26" s="218"/>
      <c r="X26" s="221"/>
      <c r="Y26" s="218"/>
      <c r="Z26" s="218"/>
      <c r="AA26" s="218"/>
      <c r="AB26" s="196"/>
      <c r="AC26" s="453">
        <f t="shared" ref="AC26" si="5">SUM($E27:$G27)-SUM($I27:$AA27)+$AC24</f>
        <v>0</v>
      </c>
    </row>
    <row r="27" spans="1:29" s="7" customFormat="1" ht="33.75" customHeight="1" thickBot="1">
      <c r="A27" s="456"/>
      <c r="B27" s="482"/>
      <c r="C27" s="15"/>
      <c r="D27" s="274" t="s">
        <v>105</v>
      </c>
      <c r="E27" s="277"/>
      <c r="F27" s="278"/>
      <c r="G27" s="278"/>
      <c r="H27" s="276"/>
      <c r="I27" s="276"/>
      <c r="J27" s="276"/>
      <c r="K27" s="276"/>
      <c r="L27" s="276"/>
      <c r="M27" s="276"/>
      <c r="N27" s="276"/>
      <c r="O27" s="276"/>
      <c r="P27" s="276"/>
      <c r="Q27" s="276"/>
      <c r="R27" s="276"/>
      <c r="S27" s="276"/>
      <c r="T27" s="276"/>
      <c r="U27" s="276"/>
      <c r="V27" s="276"/>
      <c r="W27" s="276"/>
      <c r="X27" s="279"/>
      <c r="Y27" s="276"/>
      <c r="Z27" s="276"/>
      <c r="AA27" s="276"/>
      <c r="AB27" s="197"/>
      <c r="AC27" s="454"/>
    </row>
    <row r="28" spans="1:29" s="7" customFormat="1" ht="33.75" customHeight="1">
      <c r="A28" s="464">
        <v>10</v>
      </c>
      <c r="B28" s="481"/>
      <c r="C28" s="13"/>
      <c r="D28" s="273" t="s">
        <v>177</v>
      </c>
      <c r="E28" s="216"/>
      <c r="F28" s="217"/>
      <c r="G28" s="217"/>
      <c r="H28" s="218"/>
      <c r="I28" s="218"/>
      <c r="J28" s="218"/>
      <c r="K28" s="218"/>
      <c r="L28" s="218"/>
      <c r="M28" s="218"/>
      <c r="N28" s="218"/>
      <c r="O28" s="218"/>
      <c r="P28" s="218"/>
      <c r="Q28" s="218"/>
      <c r="R28" s="218"/>
      <c r="S28" s="218"/>
      <c r="T28" s="218"/>
      <c r="U28" s="218"/>
      <c r="V28" s="218"/>
      <c r="W28" s="218"/>
      <c r="X28" s="221"/>
      <c r="Y28" s="218"/>
      <c r="Z28" s="218"/>
      <c r="AA28" s="218"/>
      <c r="AB28" s="196"/>
      <c r="AC28" s="453">
        <f t="shared" ref="AC28" si="6">SUM($E29:$G29)-SUM($I29:$AA29)+$AC26</f>
        <v>0</v>
      </c>
    </row>
    <row r="29" spans="1:29" s="7" customFormat="1" ht="33.75" customHeight="1" thickBot="1">
      <c r="A29" s="450"/>
      <c r="B29" s="482"/>
      <c r="C29" s="15"/>
      <c r="D29" s="274" t="s">
        <v>105</v>
      </c>
      <c r="E29" s="277"/>
      <c r="F29" s="278"/>
      <c r="G29" s="278"/>
      <c r="H29" s="276"/>
      <c r="I29" s="276"/>
      <c r="J29" s="276"/>
      <c r="K29" s="276"/>
      <c r="L29" s="276"/>
      <c r="M29" s="276"/>
      <c r="N29" s="276"/>
      <c r="O29" s="276"/>
      <c r="P29" s="276"/>
      <c r="Q29" s="276"/>
      <c r="R29" s="276"/>
      <c r="S29" s="276"/>
      <c r="T29" s="276"/>
      <c r="U29" s="276"/>
      <c r="V29" s="276"/>
      <c r="W29" s="276"/>
      <c r="X29" s="279"/>
      <c r="Y29" s="276"/>
      <c r="Z29" s="276"/>
      <c r="AA29" s="276"/>
      <c r="AB29" s="197"/>
      <c r="AC29" s="454"/>
    </row>
    <row r="30" spans="1:29" s="7" customFormat="1" ht="33.75" customHeight="1">
      <c r="A30" s="455">
        <v>11</v>
      </c>
      <c r="B30" s="481"/>
      <c r="C30" s="13"/>
      <c r="D30" s="273" t="s">
        <v>177</v>
      </c>
      <c r="E30" s="216"/>
      <c r="F30" s="217"/>
      <c r="G30" s="217"/>
      <c r="H30" s="218"/>
      <c r="I30" s="218"/>
      <c r="J30" s="218"/>
      <c r="K30" s="218"/>
      <c r="L30" s="218"/>
      <c r="M30" s="218"/>
      <c r="N30" s="218"/>
      <c r="O30" s="218"/>
      <c r="P30" s="218"/>
      <c r="Q30" s="218"/>
      <c r="R30" s="218"/>
      <c r="S30" s="218"/>
      <c r="T30" s="218"/>
      <c r="U30" s="218"/>
      <c r="V30" s="218"/>
      <c r="W30" s="218"/>
      <c r="X30" s="221"/>
      <c r="Y30" s="218"/>
      <c r="Z30" s="218"/>
      <c r="AA30" s="218"/>
      <c r="AB30" s="196"/>
      <c r="AC30" s="453">
        <f t="shared" ref="AC30" si="7">SUM($E31:$G31)-SUM($I31:$AA31)+$AC28</f>
        <v>0</v>
      </c>
    </row>
    <row r="31" spans="1:29" s="7" customFormat="1" ht="33.75" customHeight="1" thickBot="1">
      <c r="A31" s="456"/>
      <c r="B31" s="482"/>
      <c r="C31" s="15"/>
      <c r="D31" s="274" t="s">
        <v>105</v>
      </c>
      <c r="E31" s="277"/>
      <c r="F31" s="278"/>
      <c r="G31" s="278"/>
      <c r="H31" s="276"/>
      <c r="I31" s="276"/>
      <c r="J31" s="276"/>
      <c r="K31" s="276"/>
      <c r="L31" s="276"/>
      <c r="M31" s="276"/>
      <c r="N31" s="276"/>
      <c r="O31" s="276"/>
      <c r="P31" s="276"/>
      <c r="Q31" s="276"/>
      <c r="R31" s="276"/>
      <c r="S31" s="276"/>
      <c r="T31" s="276"/>
      <c r="U31" s="276"/>
      <c r="V31" s="276"/>
      <c r="W31" s="276"/>
      <c r="X31" s="279"/>
      <c r="Y31" s="276"/>
      <c r="Z31" s="276"/>
      <c r="AA31" s="276"/>
      <c r="AB31" s="197"/>
      <c r="AC31" s="454"/>
    </row>
    <row r="32" spans="1:29" s="7" customFormat="1" ht="33.75" customHeight="1">
      <c r="A32" s="464">
        <v>12</v>
      </c>
      <c r="B32" s="481"/>
      <c r="C32" s="13"/>
      <c r="D32" s="273" t="s">
        <v>177</v>
      </c>
      <c r="E32" s="216"/>
      <c r="F32" s="217"/>
      <c r="G32" s="217"/>
      <c r="H32" s="218"/>
      <c r="I32" s="218"/>
      <c r="J32" s="218"/>
      <c r="K32" s="218"/>
      <c r="L32" s="218"/>
      <c r="M32" s="218"/>
      <c r="N32" s="218"/>
      <c r="O32" s="218"/>
      <c r="P32" s="218"/>
      <c r="Q32" s="218"/>
      <c r="R32" s="218"/>
      <c r="S32" s="218"/>
      <c r="T32" s="218"/>
      <c r="U32" s="218"/>
      <c r="V32" s="218"/>
      <c r="W32" s="218"/>
      <c r="X32" s="221"/>
      <c r="Y32" s="218"/>
      <c r="Z32" s="218"/>
      <c r="AA32" s="218"/>
      <c r="AB32" s="196"/>
      <c r="AC32" s="453">
        <f t="shared" ref="AC32" si="8">SUM($E33:$G33)-SUM($I33:$AA33)+$AC30</f>
        <v>0</v>
      </c>
    </row>
    <row r="33" spans="1:29" s="7" customFormat="1" ht="33.75" customHeight="1" thickBot="1">
      <c r="A33" s="450"/>
      <c r="B33" s="482"/>
      <c r="C33" s="15"/>
      <c r="D33" s="274" t="s">
        <v>105</v>
      </c>
      <c r="E33" s="277"/>
      <c r="F33" s="278"/>
      <c r="G33" s="278"/>
      <c r="H33" s="276"/>
      <c r="I33" s="276"/>
      <c r="J33" s="276"/>
      <c r="K33" s="276"/>
      <c r="L33" s="276"/>
      <c r="M33" s="276"/>
      <c r="N33" s="276"/>
      <c r="O33" s="276"/>
      <c r="P33" s="276"/>
      <c r="Q33" s="276"/>
      <c r="R33" s="276"/>
      <c r="S33" s="276"/>
      <c r="T33" s="276"/>
      <c r="U33" s="276"/>
      <c r="V33" s="276"/>
      <c r="W33" s="276"/>
      <c r="X33" s="279"/>
      <c r="Y33" s="276"/>
      <c r="Z33" s="276"/>
      <c r="AA33" s="276"/>
      <c r="AB33" s="197"/>
      <c r="AC33" s="454"/>
    </row>
    <row r="34" spans="1:29" s="7" customFormat="1" ht="33.75" customHeight="1">
      <c r="A34" s="455">
        <v>13</v>
      </c>
      <c r="B34" s="481"/>
      <c r="C34" s="13"/>
      <c r="D34" s="273" t="s">
        <v>177</v>
      </c>
      <c r="E34" s="216"/>
      <c r="F34" s="217"/>
      <c r="G34" s="217"/>
      <c r="H34" s="218"/>
      <c r="I34" s="218"/>
      <c r="J34" s="218"/>
      <c r="K34" s="218"/>
      <c r="L34" s="218"/>
      <c r="M34" s="218"/>
      <c r="N34" s="218"/>
      <c r="O34" s="218"/>
      <c r="P34" s="218"/>
      <c r="Q34" s="218"/>
      <c r="R34" s="218"/>
      <c r="S34" s="218"/>
      <c r="T34" s="218"/>
      <c r="U34" s="218"/>
      <c r="V34" s="218"/>
      <c r="W34" s="218"/>
      <c r="X34" s="221"/>
      <c r="Y34" s="218"/>
      <c r="Z34" s="218"/>
      <c r="AA34" s="218"/>
      <c r="AB34" s="196"/>
      <c r="AC34" s="453">
        <f>SUM($E35:$G35)-SUM($I35:$AA35)+$AC32</f>
        <v>0</v>
      </c>
    </row>
    <row r="35" spans="1:29" s="7" customFormat="1" ht="33.75" customHeight="1" thickBot="1">
      <c r="A35" s="456"/>
      <c r="B35" s="482"/>
      <c r="C35" s="15"/>
      <c r="D35" s="274" t="s">
        <v>105</v>
      </c>
      <c r="E35" s="277"/>
      <c r="F35" s="278"/>
      <c r="G35" s="278"/>
      <c r="H35" s="276"/>
      <c r="I35" s="276"/>
      <c r="J35" s="276"/>
      <c r="K35" s="276"/>
      <c r="L35" s="276"/>
      <c r="M35" s="276"/>
      <c r="N35" s="276"/>
      <c r="O35" s="276"/>
      <c r="P35" s="276"/>
      <c r="Q35" s="276"/>
      <c r="R35" s="276"/>
      <c r="S35" s="276"/>
      <c r="T35" s="276"/>
      <c r="U35" s="276"/>
      <c r="V35" s="276"/>
      <c r="W35" s="276"/>
      <c r="X35" s="279"/>
      <c r="Y35" s="276"/>
      <c r="Z35" s="276"/>
      <c r="AA35" s="276"/>
      <c r="AB35" s="197"/>
      <c r="AC35" s="454"/>
    </row>
    <row r="36" spans="1:29" s="7" customFormat="1" ht="33.75" customHeight="1">
      <c r="A36" s="464">
        <v>14</v>
      </c>
      <c r="B36" s="481"/>
      <c r="C36" s="13"/>
      <c r="D36" s="273" t="s">
        <v>177</v>
      </c>
      <c r="E36" s="216"/>
      <c r="F36" s="217"/>
      <c r="G36" s="217"/>
      <c r="H36" s="218"/>
      <c r="I36" s="218"/>
      <c r="J36" s="218"/>
      <c r="K36" s="218"/>
      <c r="L36" s="218"/>
      <c r="M36" s="218"/>
      <c r="N36" s="218"/>
      <c r="O36" s="218"/>
      <c r="P36" s="218"/>
      <c r="Q36" s="218"/>
      <c r="R36" s="218"/>
      <c r="S36" s="218"/>
      <c r="T36" s="218"/>
      <c r="U36" s="218"/>
      <c r="V36" s="218"/>
      <c r="W36" s="218"/>
      <c r="X36" s="221"/>
      <c r="Y36" s="218"/>
      <c r="Z36" s="218"/>
      <c r="AA36" s="218"/>
      <c r="AB36" s="196"/>
      <c r="AC36" s="453">
        <f t="shared" ref="AC36" si="9">SUM($E37:$G37)-SUM($I37:$AA37)+$AC34</f>
        <v>0</v>
      </c>
    </row>
    <row r="37" spans="1:29" s="7" customFormat="1" ht="33.75" customHeight="1" thickBot="1">
      <c r="A37" s="449"/>
      <c r="B37" s="483"/>
      <c r="C37" s="15"/>
      <c r="D37" s="199" t="s">
        <v>105</v>
      </c>
      <c r="E37" s="280"/>
      <c r="F37" s="281"/>
      <c r="G37" s="281"/>
      <c r="H37" s="282"/>
      <c r="I37" s="282"/>
      <c r="J37" s="282"/>
      <c r="K37" s="282"/>
      <c r="L37" s="282"/>
      <c r="M37" s="282"/>
      <c r="N37" s="282"/>
      <c r="O37" s="282"/>
      <c r="P37" s="282"/>
      <c r="Q37" s="282"/>
      <c r="R37" s="282"/>
      <c r="S37" s="282"/>
      <c r="T37" s="282"/>
      <c r="U37" s="282"/>
      <c r="V37" s="282"/>
      <c r="W37" s="282"/>
      <c r="X37" s="283"/>
      <c r="Y37" s="282"/>
      <c r="Z37" s="282"/>
      <c r="AA37" s="282"/>
      <c r="AB37" s="194"/>
      <c r="AC37" s="465"/>
    </row>
    <row r="38" spans="1:29" s="7" customFormat="1" ht="33.75" customHeight="1">
      <c r="A38" s="455">
        <v>15</v>
      </c>
      <c r="B38" s="479"/>
      <c r="C38" s="13"/>
      <c r="D38" s="273" t="s">
        <v>177</v>
      </c>
      <c r="E38" s="216"/>
      <c r="F38" s="217"/>
      <c r="G38" s="217"/>
      <c r="H38" s="218"/>
      <c r="I38" s="218"/>
      <c r="J38" s="218"/>
      <c r="K38" s="218"/>
      <c r="L38" s="218"/>
      <c r="M38" s="218"/>
      <c r="N38" s="218"/>
      <c r="O38" s="218"/>
      <c r="P38" s="218"/>
      <c r="Q38" s="218"/>
      <c r="R38" s="218"/>
      <c r="S38" s="218"/>
      <c r="T38" s="218"/>
      <c r="U38" s="218"/>
      <c r="V38" s="218"/>
      <c r="W38" s="218"/>
      <c r="X38" s="221"/>
      <c r="Y38" s="218"/>
      <c r="Z38" s="218"/>
      <c r="AA38" s="218"/>
      <c r="AB38" s="190"/>
      <c r="AC38" s="453">
        <f t="shared" ref="AC38" si="10">SUM($E39:$G39)-SUM($I39:$AA39)+$AC36</f>
        <v>0</v>
      </c>
    </row>
    <row r="39" spans="1:29" s="7" customFormat="1" ht="33.75" customHeight="1" thickBot="1">
      <c r="A39" s="459"/>
      <c r="B39" s="480"/>
      <c r="C39" s="15"/>
      <c r="D39" s="274" t="s">
        <v>105</v>
      </c>
      <c r="E39" s="277"/>
      <c r="F39" s="278"/>
      <c r="G39" s="278"/>
      <c r="H39" s="276"/>
      <c r="I39" s="276"/>
      <c r="J39" s="276"/>
      <c r="K39" s="276"/>
      <c r="L39" s="276"/>
      <c r="M39" s="276"/>
      <c r="N39" s="276"/>
      <c r="O39" s="276"/>
      <c r="P39" s="276"/>
      <c r="Q39" s="276"/>
      <c r="R39" s="276"/>
      <c r="S39" s="276"/>
      <c r="T39" s="276"/>
      <c r="U39" s="276"/>
      <c r="V39" s="276"/>
      <c r="W39" s="276"/>
      <c r="X39" s="279"/>
      <c r="Y39" s="276"/>
      <c r="Z39" s="276"/>
      <c r="AA39" s="276"/>
      <c r="AB39" s="191"/>
      <c r="AC39" s="454"/>
    </row>
    <row r="40" spans="1:29" s="7" customFormat="1" ht="33.75" customHeight="1">
      <c r="A40" s="466">
        <v>16</v>
      </c>
      <c r="B40" s="479"/>
      <c r="C40" s="13"/>
      <c r="D40" s="273" t="s">
        <v>177</v>
      </c>
      <c r="E40" s="216"/>
      <c r="F40" s="217"/>
      <c r="G40" s="217"/>
      <c r="H40" s="218"/>
      <c r="I40" s="218"/>
      <c r="J40" s="218"/>
      <c r="K40" s="218"/>
      <c r="L40" s="218"/>
      <c r="M40" s="218"/>
      <c r="N40" s="218"/>
      <c r="O40" s="218"/>
      <c r="P40" s="218"/>
      <c r="Q40" s="218"/>
      <c r="R40" s="218"/>
      <c r="S40" s="218"/>
      <c r="T40" s="218"/>
      <c r="U40" s="218"/>
      <c r="V40" s="218"/>
      <c r="W40" s="218"/>
      <c r="X40" s="221"/>
      <c r="Y40" s="218"/>
      <c r="Z40" s="218"/>
      <c r="AA40" s="218"/>
      <c r="AB40" s="190"/>
      <c r="AC40" s="453">
        <f t="shared" ref="AC40" si="11">SUM($E41:$G41)-SUM($I41:$AA41)+$AC38</f>
        <v>0</v>
      </c>
    </row>
    <row r="41" spans="1:29" s="7" customFormat="1" ht="33.75" customHeight="1" thickBot="1">
      <c r="A41" s="467"/>
      <c r="B41" s="480"/>
      <c r="C41" s="15"/>
      <c r="D41" s="274" t="s">
        <v>105</v>
      </c>
      <c r="E41" s="277"/>
      <c r="F41" s="278"/>
      <c r="G41" s="278"/>
      <c r="H41" s="276"/>
      <c r="I41" s="276"/>
      <c r="J41" s="276"/>
      <c r="K41" s="276"/>
      <c r="L41" s="276"/>
      <c r="M41" s="276"/>
      <c r="N41" s="276"/>
      <c r="O41" s="276"/>
      <c r="P41" s="276"/>
      <c r="Q41" s="276"/>
      <c r="R41" s="276"/>
      <c r="S41" s="276"/>
      <c r="T41" s="276"/>
      <c r="U41" s="276"/>
      <c r="V41" s="276"/>
      <c r="W41" s="276"/>
      <c r="X41" s="279"/>
      <c r="Y41" s="276"/>
      <c r="Z41" s="276"/>
      <c r="AA41" s="276"/>
      <c r="AB41" s="191"/>
      <c r="AC41" s="454"/>
    </row>
    <row r="42" spans="1:29" s="7" customFormat="1" ht="33.75" customHeight="1">
      <c r="A42" s="468">
        <v>17</v>
      </c>
      <c r="B42" s="483"/>
      <c r="C42" s="13"/>
      <c r="D42" s="275" t="s">
        <v>177</v>
      </c>
      <c r="E42" s="222"/>
      <c r="F42" s="223"/>
      <c r="G42" s="223"/>
      <c r="H42" s="224"/>
      <c r="I42" s="224"/>
      <c r="J42" s="224"/>
      <c r="K42" s="224"/>
      <c r="L42" s="224"/>
      <c r="M42" s="224"/>
      <c r="N42" s="224"/>
      <c r="O42" s="224"/>
      <c r="P42" s="224"/>
      <c r="Q42" s="224"/>
      <c r="R42" s="224"/>
      <c r="S42" s="224"/>
      <c r="T42" s="224"/>
      <c r="U42" s="224"/>
      <c r="V42" s="224"/>
      <c r="W42" s="224"/>
      <c r="X42" s="224"/>
      <c r="Y42" s="224"/>
      <c r="Z42" s="224"/>
      <c r="AA42" s="224"/>
      <c r="AB42" s="195"/>
      <c r="AC42" s="453">
        <f t="shared" ref="AC42" si="12">SUM($E43:$G43)-SUM($I43:$AA43)+$AC40</f>
        <v>0</v>
      </c>
    </row>
    <row r="43" spans="1:29" s="7" customFormat="1" ht="33.75" customHeight="1" thickBot="1">
      <c r="A43" s="459"/>
      <c r="B43" s="482"/>
      <c r="C43" s="15"/>
      <c r="D43" s="274" t="s">
        <v>105</v>
      </c>
      <c r="E43" s="277"/>
      <c r="F43" s="278"/>
      <c r="G43" s="278"/>
      <c r="H43" s="276"/>
      <c r="I43" s="276"/>
      <c r="J43" s="276"/>
      <c r="K43" s="276"/>
      <c r="L43" s="276"/>
      <c r="M43" s="276"/>
      <c r="N43" s="276"/>
      <c r="O43" s="276"/>
      <c r="P43" s="276"/>
      <c r="Q43" s="276"/>
      <c r="R43" s="276"/>
      <c r="S43" s="276"/>
      <c r="T43" s="276"/>
      <c r="U43" s="276"/>
      <c r="V43" s="276"/>
      <c r="W43" s="276"/>
      <c r="X43" s="276"/>
      <c r="Y43" s="276"/>
      <c r="Z43" s="276"/>
      <c r="AA43" s="276"/>
      <c r="AB43" s="197"/>
      <c r="AC43" s="454"/>
    </row>
    <row r="44" spans="1:29" s="7" customFormat="1" ht="33.75" customHeight="1">
      <c r="A44" s="455">
        <v>18</v>
      </c>
      <c r="B44" s="481"/>
      <c r="C44" s="13"/>
      <c r="D44" s="273" t="s">
        <v>177</v>
      </c>
      <c r="E44" s="216"/>
      <c r="F44" s="217"/>
      <c r="G44" s="217"/>
      <c r="H44" s="218"/>
      <c r="I44" s="218"/>
      <c r="J44" s="218"/>
      <c r="K44" s="218"/>
      <c r="L44" s="218"/>
      <c r="M44" s="218"/>
      <c r="N44" s="218"/>
      <c r="O44" s="218"/>
      <c r="P44" s="218"/>
      <c r="Q44" s="218"/>
      <c r="R44" s="218"/>
      <c r="S44" s="218"/>
      <c r="T44" s="218"/>
      <c r="U44" s="218"/>
      <c r="V44" s="218"/>
      <c r="W44" s="218"/>
      <c r="X44" s="218"/>
      <c r="Y44" s="218"/>
      <c r="Z44" s="218"/>
      <c r="AA44" s="218"/>
      <c r="AB44" s="196"/>
      <c r="AC44" s="453">
        <f t="shared" ref="AC44" si="13">SUM($E45:$G45)-SUM($I45:$AA45)+$AC42</f>
        <v>0</v>
      </c>
    </row>
    <row r="45" spans="1:29" s="7" customFormat="1" ht="33.75" customHeight="1" thickBot="1">
      <c r="A45" s="459"/>
      <c r="B45" s="482"/>
      <c r="C45" s="15"/>
      <c r="D45" s="274" t="s">
        <v>105</v>
      </c>
      <c r="E45" s="277"/>
      <c r="F45" s="278"/>
      <c r="G45" s="278"/>
      <c r="H45" s="276"/>
      <c r="I45" s="276"/>
      <c r="J45" s="276"/>
      <c r="K45" s="276"/>
      <c r="L45" s="276"/>
      <c r="M45" s="276"/>
      <c r="N45" s="276"/>
      <c r="O45" s="276"/>
      <c r="P45" s="276"/>
      <c r="Q45" s="276"/>
      <c r="R45" s="276"/>
      <c r="S45" s="276"/>
      <c r="T45" s="276"/>
      <c r="U45" s="276"/>
      <c r="V45" s="276"/>
      <c r="W45" s="276"/>
      <c r="X45" s="276"/>
      <c r="Y45" s="276"/>
      <c r="Z45" s="276"/>
      <c r="AA45" s="276"/>
      <c r="AB45" s="197"/>
      <c r="AC45" s="454"/>
    </row>
    <row r="46" spans="1:29" s="7" customFormat="1" ht="33.75" customHeight="1">
      <c r="A46" s="455">
        <v>19</v>
      </c>
      <c r="B46" s="481"/>
      <c r="C46" s="13"/>
      <c r="D46" s="273" t="s">
        <v>177</v>
      </c>
      <c r="E46" s="216"/>
      <c r="F46" s="217"/>
      <c r="G46" s="217"/>
      <c r="H46" s="218"/>
      <c r="I46" s="218"/>
      <c r="J46" s="218"/>
      <c r="K46" s="218"/>
      <c r="L46" s="218"/>
      <c r="M46" s="218"/>
      <c r="N46" s="218"/>
      <c r="O46" s="218"/>
      <c r="P46" s="218"/>
      <c r="Q46" s="218"/>
      <c r="R46" s="218"/>
      <c r="S46" s="218"/>
      <c r="T46" s="218"/>
      <c r="U46" s="218"/>
      <c r="V46" s="218"/>
      <c r="W46" s="218"/>
      <c r="X46" s="218"/>
      <c r="Y46" s="218"/>
      <c r="Z46" s="218"/>
      <c r="AA46" s="218"/>
      <c r="AB46" s="196"/>
      <c r="AC46" s="453">
        <f t="shared" ref="AC46" si="14">SUM($E47:$G47)-SUM($I47:$AA47)+$AC44</f>
        <v>0</v>
      </c>
    </row>
    <row r="47" spans="1:29" s="7" customFormat="1" ht="33.75" customHeight="1" thickBot="1">
      <c r="A47" s="459"/>
      <c r="B47" s="482"/>
      <c r="C47" s="15"/>
      <c r="D47" s="274" t="s">
        <v>105</v>
      </c>
      <c r="E47" s="277"/>
      <c r="F47" s="278"/>
      <c r="G47" s="278"/>
      <c r="H47" s="276"/>
      <c r="I47" s="276"/>
      <c r="J47" s="276"/>
      <c r="K47" s="276"/>
      <c r="L47" s="276"/>
      <c r="M47" s="276"/>
      <c r="N47" s="276"/>
      <c r="O47" s="276"/>
      <c r="P47" s="276"/>
      <c r="Q47" s="276"/>
      <c r="R47" s="276"/>
      <c r="S47" s="276"/>
      <c r="T47" s="276"/>
      <c r="U47" s="276"/>
      <c r="V47" s="276"/>
      <c r="W47" s="276"/>
      <c r="X47" s="276"/>
      <c r="Y47" s="276"/>
      <c r="Z47" s="276"/>
      <c r="AA47" s="276"/>
      <c r="AB47" s="197"/>
      <c r="AC47" s="454"/>
    </row>
    <row r="48" spans="1:29" s="7" customFormat="1" ht="33.75" customHeight="1">
      <c r="A48" s="455">
        <v>20</v>
      </c>
      <c r="B48" s="481"/>
      <c r="C48" s="13"/>
      <c r="D48" s="273" t="s">
        <v>177</v>
      </c>
      <c r="E48" s="216"/>
      <c r="F48" s="217"/>
      <c r="G48" s="217"/>
      <c r="H48" s="218"/>
      <c r="I48" s="218"/>
      <c r="J48" s="218"/>
      <c r="K48" s="218"/>
      <c r="L48" s="218"/>
      <c r="M48" s="218"/>
      <c r="N48" s="218"/>
      <c r="O48" s="218"/>
      <c r="P48" s="218"/>
      <c r="Q48" s="218"/>
      <c r="R48" s="218"/>
      <c r="S48" s="218"/>
      <c r="T48" s="218"/>
      <c r="U48" s="218"/>
      <c r="V48" s="218"/>
      <c r="W48" s="218"/>
      <c r="X48" s="218"/>
      <c r="Y48" s="218"/>
      <c r="Z48" s="218"/>
      <c r="AA48" s="218"/>
      <c r="AB48" s="196"/>
      <c r="AC48" s="453">
        <f t="shared" ref="AC48" si="15">SUM($E49:$G49)-SUM($I49:$AA49)+$AC46</f>
        <v>0</v>
      </c>
    </row>
    <row r="49" spans="1:29" s="7" customFormat="1" ht="33.75" customHeight="1" thickBot="1">
      <c r="A49" s="459"/>
      <c r="B49" s="482"/>
      <c r="C49" s="15"/>
      <c r="D49" s="274" t="s">
        <v>105</v>
      </c>
      <c r="E49" s="277"/>
      <c r="F49" s="278"/>
      <c r="G49" s="278"/>
      <c r="H49" s="276"/>
      <c r="I49" s="276"/>
      <c r="J49" s="276"/>
      <c r="K49" s="276"/>
      <c r="L49" s="276"/>
      <c r="M49" s="276"/>
      <c r="N49" s="276"/>
      <c r="O49" s="276"/>
      <c r="P49" s="276"/>
      <c r="Q49" s="276"/>
      <c r="R49" s="276"/>
      <c r="S49" s="276"/>
      <c r="T49" s="276"/>
      <c r="U49" s="276"/>
      <c r="V49" s="276"/>
      <c r="W49" s="276"/>
      <c r="X49" s="276"/>
      <c r="Y49" s="276"/>
      <c r="Z49" s="276"/>
      <c r="AA49" s="276"/>
      <c r="AB49" s="197"/>
      <c r="AC49" s="454"/>
    </row>
    <row r="50" spans="1:29" s="7" customFormat="1" ht="33.75" customHeight="1">
      <c r="A50" s="455">
        <v>21</v>
      </c>
      <c r="B50" s="481"/>
      <c r="C50" s="13"/>
      <c r="D50" s="273" t="s">
        <v>177</v>
      </c>
      <c r="E50" s="216"/>
      <c r="F50" s="217"/>
      <c r="G50" s="217"/>
      <c r="H50" s="218"/>
      <c r="I50" s="218"/>
      <c r="J50" s="218"/>
      <c r="K50" s="218"/>
      <c r="L50" s="218"/>
      <c r="M50" s="218"/>
      <c r="N50" s="218"/>
      <c r="O50" s="218"/>
      <c r="P50" s="218"/>
      <c r="Q50" s="218"/>
      <c r="R50" s="218"/>
      <c r="S50" s="218"/>
      <c r="T50" s="218"/>
      <c r="U50" s="218"/>
      <c r="V50" s="218"/>
      <c r="W50" s="218"/>
      <c r="X50" s="218"/>
      <c r="Y50" s="218"/>
      <c r="Z50" s="218"/>
      <c r="AA50" s="218"/>
      <c r="AB50" s="196"/>
      <c r="AC50" s="453">
        <f t="shared" ref="AC50" si="16">SUM($E51:$G51)-SUM($I51:$AA51)+$AC48</f>
        <v>0</v>
      </c>
    </row>
    <row r="51" spans="1:29" s="7" customFormat="1" ht="33.75" customHeight="1" thickBot="1">
      <c r="A51" s="459"/>
      <c r="B51" s="482"/>
      <c r="C51" s="15"/>
      <c r="D51" s="274" t="s">
        <v>105</v>
      </c>
      <c r="E51" s="277"/>
      <c r="F51" s="278"/>
      <c r="G51" s="278"/>
      <c r="H51" s="276"/>
      <c r="I51" s="276"/>
      <c r="J51" s="276"/>
      <c r="K51" s="276"/>
      <c r="L51" s="276"/>
      <c r="M51" s="276"/>
      <c r="N51" s="276"/>
      <c r="O51" s="276"/>
      <c r="P51" s="276"/>
      <c r="Q51" s="276"/>
      <c r="R51" s="276"/>
      <c r="S51" s="276"/>
      <c r="T51" s="276"/>
      <c r="U51" s="276"/>
      <c r="V51" s="276"/>
      <c r="W51" s="276"/>
      <c r="X51" s="276"/>
      <c r="Y51" s="276"/>
      <c r="Z51" s="276"/>
      <c r="AA51" s="276"/>
      <c r="AB51" s="197"/>
      <c r="AC51" s="454"/>
    </row>
    <row r="52" spans="1:29" s="7" customFormat="1" ht="33.75" customHeight="1">
      <c r="A52" s="455">
        <v>22</v>
      </c>
      <c r="B52" s="481"/>
      <c r="C52" s="13"/>
      <c r="D52" s="273" t="s">
        <v>177</v>
      </c>
      <c r="E52" s="216"/>
      <c r="F52" s="217"/>
      <c r="G52" s="217"/>
      <c r="H52" s="218"/>
      <c r="I52" s="218"/>
      <c r="J52" s="218"/>
      <c r="K52" s="218"/>
      <c r="L52" s="218"/>
      <c r="M52" s="218"/>
      <c r="N52" s="218"/>
      <c r="O52" s="218"/>
      <c r="P52" s="218"/>
      <c r="Q52" s="218"/>
      <c r="R52" s="218"/>
      <c r="S52" s="218"/>
      <c r="T52" s="218"/>
      <c r="U52" s="218"/>
      <c r="V52" s="218"/>
      <c r="W52" s="218"/>
      <c r="X52" s="218"/>
      <c r="Y52" s="218"/>
      <c r="Z52" s="218"/>
      <c r="AA52" s="218"/>
      <c r="AB52" s="196"/>
      <c r="AC52" s="453">
        <f t="shared" ref="AC52" si="17">SUM($E53:$G53)-SUM($I53:$AA53)+$AC50</f>
        <v>0</v>
      </c>
    </row>
    <row r="53" spans="1:29" s="7" customFormat="1" ht="33.75" customHeight="1" thickBot="1">
      <c r="A53" s="459"/>
      <c r="B53" s="482"/>
      <c r="C53" s="15"/>
      <c r="D53" s="274" t="s">
        <v>105</v>
      </c>
      <c r="E53" s="277"/>
      <c r="F53" s="278"/>
      <c r="G53" s="278"/>
      <c r="H53" s="276"/>
      <c r="I53" s="276"/>
      <c r="J53" s="276"/>
      <c r="K53" s="276"/>
      <c r="L53" s="276"/>
      <c r="M53" s="276"/>
      <c r="N53" s="276"/>
      <c r="O53" s="276"/>
      <c r="P53" s="276"/>
      <c r="Q53" s="276"/>
      <c r="R53" s="276"/>
      <c r="S53" s="276"/>
      <c r="T53" s="276"/>
      <c r="U53" s="276"/>
      <c r="V53" s="276"/>
      <c r="W53" s="276"/>
      <c r="X53" s="276"/>
      <c r="Y53" s="276"/>
      <c r="Z53" s="276"/>
      <c r="AA53" s="276"/>
      <c r="AB53" s="197"/>
      <c r="AC53" s="454"/>
    </row>
    <row r="54" spans="1:29" s="7" customFormat="1" ht="33.75" customHeight="1">
      <c r="A54" s="455">
        <v>23</v>
      </c>
      <c r="B54" s="481"/>
      <c r="C54" s="13"/>
      <c r="D54" s="273" t="s">
        <v>177</v>
      </c>
      <c r="E54" s="216"/>
      <c r="F54" s="217"/>
      <c r="G54" s="217"/>
      <c r="H54" s="218"/>
      <c r="I54" s="218"/>
      <c r="J54" s="218"/>
      <c r="K54" s="218"/>
      <c r="L54" s="218"/>
      <c r="M54" s="218"/>
      <c r="N54" s="218"/>
      <c r="O54" s="218"/>
      <c r="P54" s="218"/>
      <c r="Q54" s="218"/>
      <c r="R54" s="218"/>
      <c r="S54" s="218"/>
      <c r="T54" s="218"/>
      <c r="U54" s="218"/>
      <c r="V54" s="218"/>
      <c r="W54" s="218"/>
      <c r="X54" s="218"/>
      <c r="Y54" s="218"/>
      <c r="Z54" s="218"/>
      <c r="AA54" s="218"/>
      <c r="AB54" s="196"/>
      <c r="AC54" s="453">
        <f t="shared" ref="AC54" si="18">SUM($E55:$G55)-SUM($I55:$AA55)+$AC52</f>
        <v>0</v>
      </c>
    </row>
    <row r="55" spans="1:29" s="7" customFormat="1" ht="33.75" customHeight="1" thickBot="1">
      <c r="A55" s="459"/>
      <c r="B55" s="482"/>
      <c r="C55" s="15"/>
      <c r="D55" s="274" t="s">
        <v>105</v>
      </c>
      <c r="E55" s="277"/>
      <c r="F55" s="278"/>
      <c r="G55" s="278"/>
      <c r="H55" s="276"/>
      <c r="I55" s="276"/>
      <c r="J55" s="276"/>
      <c r="K55" s="276"/>
      <c r="L55" s="276"/>
      <c r="M55" s="276"/>
      <c r="N55" s="276"/>
      <c r="O55" s="276"/>
      <c r="P55" s="276"/>
      <c r="Q55" s="276"/>
      <c r="R55" s="276"/>
      <c r="S55" s="276"/>
      <c r="T55" s="276"/>
      <c r="U55" s="276"/>
      <c r="V55" s="276"/>
      <c r="W55" s="276"/>
      <c r="X55" s="276"/>
      <c r="Y55" s="276"/>
      <c r="Z55" s="276"/>
      <c r="AA55" s="276"/>
      <c r="AB55" s="197"/>
      <c r="AC55" s="454"/>
    </row>
    <row r="56" spans="1:29" s="7" customFormat="1" ht="33.75" customHeight="1">
      <c r="A56" s="455">
        <v>24</v>
      </c>
      <c r="B56" s="481"/>
      <c r="C56" s="13"/>
      <c r="D56" s="273" t="s">
        <v>177</v>
      </c>
      <c r="E56" s="216"/>
      <c r="F56" s="217"/>
      <c r="G56" s="217"/>
      <c r="H56" s="218"/>
      <c r="I56" s="218"/>
      <c r="J56" s="218"/>
      <c r="K56" s="218"/>
      <c r="L56" s="218"/>
      <c r="M56" s="218"/>
      <c r="N56" s="218"/>
      <c r="O56" s="218"/>
      <c r="P56" s="218"/>
      <c r="Q56" s="218"/>
      <c r="R56" s="218"/>
      <c r="S56" s="218"/>
      <c r="T56" s="218"/>
      <c r="U56" s="218"/>
      <c r="V56" s="218"/>
      <c r="W56" s="218"/>
      <c r="X56" s="218"/>
      <c r="Y56" s="218"/>
      <c r="Z56" s="218"/>
      <c r="AA56" s="218"/>
      <c r="AB56" s="196"/>
      <c r="AC56" s="453">
        <f t="shared" ref="AC56" si="19">SUM($E57:$G57)-SUM($I57:$AA57)+$AC54</f>
        <v>0</v>
      </c>
    </row>
    <row r="57" spans="1:29" s="7" customFormat="1" ht="33.75" customHeight="1" thickBot="1">
      <c r="A57" s="459"/>
      <c r="B57" s="482"/>
      <c r="C57" s="15"/>
      <c r="D57" s="274" t="s">
        <v>105</v>
      </c>
      <c r="E57" s="277"/>
      <c r="F57" s="278"/>
      <c r="G57" s="278"/>
      <c r="H57" s="276"/>
      <c r="I57" s="276"/>
      <c r="J57" s="276"/>
      <c r="K57" s="276"/>
      <c r="L57" s="276"/>
      <c r="M57" s="276"/>
      <c r="N57" s="276"/>
      <c r="O57" s="276"/>
      <c r="P57" s="276"/>
      <c r="Q57" s="276"/>
      <c r="R57" s="276"/>
      <c r="S57" s="276"/>
      <c r="T57" s="276"/>
      <c r="U57" s="276"/>
      <c r="V57" s="276"/>
      <c r="W57" s="276"/>
      <c r="X57" s="276"/>
      <c r="Y57" s="276"/>
      <c r="Z57" s="276"/>
      <c r="AA57" s="276"/>
      <c r="AB57" s="197"/>
      <c r="AC57" s="454"/>
    </row>
    <row r="58" spans="1:29" s="7" customFormat="1" ht="33.75" customHeight="1">
      <c r="A58" s="455">
        <v>25</v>
      </c>
      <c r="B58" s="481"/>
      <c r="C58" s="13"/>
      <c r="D58" s="273" t="s">
        <v>177</v>
      </c>
      <c r="E58" s="216"/>
      <c r="F58" s="217"/>
      <c r="G58" s="217"/>
      <c r="H58" s="218"/>
      <c r="I58" s="218"/>
      <c r="J58" s="218"/>
      <c r="K58" s="218"/>
      <c r="L58" s="218"/>
      <c r="M58" s="218"/>
      <c r="N58" s="218"/>
      <c r="O58" s="218"/>
      <c r="P58" s="218"/>
      <c r="Q58" s="218"/>
      <c r="R58" s="218"/>
      <c r="S58" s="218"/>
      <c r="T58" s="218"/>
      <c r="U58" s="218"/>
      <c r="V58" s="218"/>
      <c r="W58" s="218"/>
      <c r="X58" s="218"/>
      <c r="Y58" s="218"/>
      <c r="Z58" s="218"/>
      <c r="AA58" s="218"/>
      <c r="AB58" s="196"/>
      <c r="AC58" s="453">
        <f t="shared" ref="AC58" si="20">SUM($E59:$G59)-SUM($I59:$AA59)+$AC56</f>
        <v>0</v>
      </c>
    </row>
    <row r="59" spans="1:29" s="7" customFormat="1" ht="33.75" customHeight="1" thickBot="1">
      <c r="A59" s="459"/>
      <c r="B59" s="482"/>
      <c r="C59" s="15"/>
      <c r="D59" s="274" t="s">
        <v>105</v>
      </c>
      <c r="E59" s="277"/>
      <c r="F59" s="278"/>
      <c r="G59" s="278"/>
      <c r="H59" s="276"/>
      <c r="I59" s="276"/>
      <c r="J59" s="276"/>
      <c r="K59" s="276"/>
      <c r="L59" s="276"/>
      <c r="M59" s="276"/>
      <c r="N59" s="276"/>
      <c r="O59" s="276"/>
      <c r="P59" s="276"/>
      <c r="Q59" s="276"/>
      <c r="R59" s="276"/>
      <c r="S59" s="276"/>
      <c r="T59" s="276"/>
      <c r="U59" s="276"/>
      <c r="V59" s="276"/>
      <c r="W59" s="276"/>
      <c r="X59" s="276"/>
      <c r="Y59" s="276"/>
      <c r="Z59" s="276"/>
      <c r="AA59" s="276"/>
      <c r="AB59" s="197"/>
      <c r="AC59" s="454"/>
    </row>
    <row r="60" spans="1:29" s="7" customFormat="1" ht="33.75" customHeight="1">
      <c r="A60" s="455">
        <v>26</v>
      </c>
      <c r="B60" s="481"/>
      <c r="C60" s="13"/>
      <c r="D60" s="273" t="s">
        <v>177</v>
      </c>
      <c r="E60" s="216"/>
      <c r="F60" s="217"/>
      <c r="G60" s="217"/>
      <c r="H60" s="218"/>
      <c r="I60" s="218"/>
      <c r="J60" s="218"/>
      <c r="K60" s="218"/>
      <c r="L60" s="218"/>
      <c r="M60" s="218"/>
      <c r="N60" s="218"/>
      <c r="O60" s="218"/>
      <c r="P60" s="218"/>
      <c r="Q60" s="218"/>
      <c r="R60" s="218"/>
      <c r="S60" s="218"/>
      <c r="T60" s="218"/>
      <c r="U60" s="218"/>
      <c r="V60" s="218"/>
      <c r="W60" s="218"/>
      <c r="X60" s="218"/>
      <c r="Y60" s="218"/>
      <c r="Z60" s="218"/>
      <c r="AA60" s="218"/>
      <c r="AB60" s="196"/>
      <c r="AC60" s="453">
        <f t="shared" ref="AC60" si="21">SUM($E61:$G61)-SUM($I61:$AA61)+$AC58</f>
        <v>0</v>
      </c>
    </row>
    <row r="61" spans="1:29" s="7" customFormat="1" ht="33.75" customHeight="1" thickBot="1">
      <c r="A61" s="459"/>
      <c r="B61" s="482"/>
      <c r="C61" s="15"/>
      <c r="D61" s="274" t="s">
        <v>105</v>
      </c>
      <c r="E61" s="277"/>
      <c r="F61" s="278"/>
      <c r="G61" s="278"/>
      <c r="H61" s="220"/>
      <c r="I61" s="276"/>
      <c r="J61" s="276"/>
      <c r="K61" s="276"/>
      <c r="L61" s="276"/>
      <c r="M61" s="276"/>
      <c r="N61" s="276"/>
      <c r="O61" s="276"/>
      <c r="P61" s="276"/>
      <c r="Q61" s="276"/>
      <c r="R61" s="276"/>
      <c r="S61" s="276"/>
      <c r="T61" s="276"/>
      <c r="U61" s="276"/>
      <c r="V61" s="276"/>
      <c r="W61" s="276"/>
      <c r="X61" s="276"/>
      <c r="Y61" s="276"/>
      <c r="Z61" s="276"/>
      <c r="AA61" s="276"/>
      <c r="AB61" s="197"/>
      <c r="AC61" s="454"/>
    </row>
    <row r="62" spans="1:29" s="7" customFormat="1" ht="33.75" customHeight="1">
      <c r="A62" s="455">
        <v>27</v>
      </c>
      <c r="B62" s="481"/>
      <c r="C62" s="13"/>
      <c r="D62" s="273" t="s">
        <v>177</v>
      </c>
      <c r="E62" s="216"/>
      <c r="F62" s="217"/>
      <c r="G62" s="217"/>
      <c r="H62" s="218"/>
      <c r="I62" s="218"/>
      <c r="J62" s="218"/>
      <c r="K62" s="218"/>
      <c r="L62" s="218"/>
      <c r="M62" s="218"/>
      <c r="N62" s="218"/>
      <c r="O62" s="218"/>
      <c r="P62" s="218"/>
      <c r="Q62" s="218"/>
      <c r="R62" s="218"/>
      <c r="S62" s="218"/>
      <c r="T62" s="218"/>
      <c r="U62" s="218"/>
      <c r="V62" s="218"/>
      <c r="W62" s="218"/>
      <c r="X62" s="218"/>
      <c r="Y62" s="218"/>
      <c r="Z62" s="218"/>
      <c r="AA62" s="218"/>
      <c r="AB62" s="196"/>
      <c r="AC62" s="453">
        <f t="shared" ref="AC62" si="22">SUM($E63:$G63)-SUM($I63:$AA63)+$AC60</f>
        <v>0</v>
      </c>
    </row>
    <row r="63" spans="1:29" s="7" customFormat="1" ht="33.75" customHeight="1" thickBot="1">
      <c r="A63" s="459"/>
      <c r="B63" s="482"/>
      <c r="C63" s="15"/>
      <c r="D63" s="274" t="s">
        <v>105</v>
      </c>
      <c r="E63" s="277"/>
      <c r="F63" s="278"/>
      <c r="G63" s="278"/>
      <c r="H63" s="276"/>
      <c r="I63" s="276"/>
      <c r="J63" s="276"/>
      <c r="K63" s="276"/>
      <c r="L63" s="276"/>
      <c r="M63" s="276"/>
      <c r="N63" s="276"/>
      <c r="O63" s="276"/>
      <c r="P63" s="276"/>
      <c r="Q63" s="276"/>
      <c r="R63" s="276"/>
      <c r="S63" s="276"/>
      <c r="T63" s="276"/>
      <c r="U63" s="276"/>
      <c r="V63" s="276"/>
      <c r="W63" s="276"/>
      <c r="X63" s="276"/>
      <c r="Y63" s="276"/>
      <c r="Z63" s="276"/>
      <c r="AA63" s="276"/>
      <c r="AB63" s="197"/>
      <c r="AC63" s="454"/>
    </row>
    <row r="64" spans="1:29" s="7" customFormat="1" ht="33.75" customHeight="1">
      <c r="A64" s="455">
        <v>28</v>
      </c>
      <c r="B64" s="481"/>
      <c r="C64" s="13"/>
      <c r="D64" s="273" t="s">
        <v>177</v>
      </c>
      <c r="E64" s="216"/>
      <c r="F64" s="217"/>
      <c r="G64" s="217"/>
      <c r="H64" s="218"/>
      <c r="I64" s="218"/>
      <c r="J64" s="218"/>
      <c r="K64" s="218"/>
      <c r="L64" s="218"/>
      <c r="M64" s="218"/>
      <c r="N64" s="218"/>
      <c r="O64" s="218"/>
      <c r="P64" s="218"/>
      <c r="Q64" s="218"/>
      <c r="R64" s="218"/>
      <c r="S64" s="218"/>
      <c r="T64" s="218"/>
      <c r="U64" s="218"/>
      <c r="V64" s="218"/>
      <c r="W64" s="218"/>
      <c r="X64" s="218"/>
      <c r="Y64" s="218"/>
      <c r="Z64" s="218"/>
      <c r="AA64" s="218"/>
      <c r="AB64" s="196"/>
      <c r="AC64" s="453">
        <f t="shared" ref="AC64" si="23">SUM($E65:$G65)-SUM($I65:$AA65)+$AC62</f>
        <v>0</v>
      </c>
    </row>
    <row r="65" spans="1:29" s="7" customFormat="1" ht="33.75" customHeight="1" thickBot="1">
      <c r="A65" s="459"/>
      <c r="B65" s="482"/>
      <c r="C65" s="15"/>
      <c r="D65" s="274" t="s">
        <v>105</v>
      </c>
      <c r="E65" s="277"/>
      <c r="F65" s="278"/>
      <c r="G65" s="278"/>
      <c r="H65" s="276"/>
      <c r="I65" s="276"/>
      <c r="J65" s="276"/>
      <c r="K65" s="276"/>
      <c r="L65" s="276"/>
      <c r="M65" s="276"/>
      <c r="N65" s="276"/>
      <c r="O65" s="276"/>
      <c r="P65" s="276"/>
      <c r="Q65" s="276"/>
      <c r="R65" s="276"/>
      <c r="S65" s="276"/>
      <c r="T65" s="276"/>
      <c r="U65" s="276"/>
      <c r="V65" s="276"/>
      <c r="W65" s="276"/>
      <c r="X65" s="276"/>
      <c r="Y65" s="276"/>
      <c r="Z65" s="276"/>
      <c r="AA65" s="276"/>
      <c r="AB65" s="197"/>
      <c r="AC65" s="454"/>
    </row>
    <row r="66" spans="1:29" s="7" customFormat="1" ht="33.75" customHeight="1">
      <c r="A66" s="455">
        <v>29</v>
      </c>
      <c r="B66" s="481"/>
      <c r="C66" s="13"/>
      <c r="D66" s="273" t="s">
        <v>177</v>
      </c>
      <c r="E66" s="216"/>
      <c r="F66" s="217"/>
      <c r="G66" s="217"/>
      <c r="H66" s="218"/>
      <c r="I66" s="218"/>
      <c r="J66" s="218"/>
      <c r="K66" s="218"/>
      <c r="L66" s="218"/>
      <c r="M66" s="218"/>
      <c r="N66" s="218"/>
      <c r="O66" s="218"/>
      <c r="P66" s="218"/>
      <c r="Q66" s="218"/>
      <c r="R66" s="218"/>
      <c r="S66" s="218"/>
      <c r="T66" s="218"/>
      <c r="U66" s="218"/>
      <c r="V66" s="218"/>
      <c r="W66" s="218"/>
      <c r="X66" s="218"/>
      <c r="Y66" s="218"/>
      <c r="Z66" s="218"/>
      <c r="AA66" s="218"/>
      <c r="AB66" s="196"/>
      <c r="AC66" s="453">
        <f t="shared" ref="AC66" si="24">SUM($E67:$G67)-SUM($I67:$AA67)+$AC64</f>
        <v>0</v>
      </c>
    </row>
    <row r="67" spans="1:29" s="7" customFormat="1" ht="33.75" customHeight="1" thickBot="1">
      <c r="A67" s="459"/>
      <c r="B67" s="482"/>
      <c r="C67" s="15"/>
      <c r="D67" s="274" t="s">
        <v>105</v>
      </c>
      <c r="E67" s="277"/>
      <c r="F67" s="278"/>
      <c r="G67" s="278"/>
      <c r="H67" s="276"/>
      <c r="I67" s="276"/>
      <c r="J67" s="276"/>
      <c r="K67" s="276"/>
      <c r="L67" s="276"/>
      <c r="M67" s="276"/>
      <c r="N67" s="276"/>
      <c r="O67" s="276"/>
      <c r="P67" s="276"/>
      <c r="Q67" s="276"/>
      <c r="R67" s="276"/>
      <c r="S67" s="276"/>
      <c r="T67" s="276"/>
      <c r="U67" s="276"/>
      <c r="V67" s="276"/>
      <c r="W67" s="276"/>
      <c r="X67" s="276"/>
      <c r="Y67" s="276"/>
      <c r="Z67" s="276"/>
      <c r="AA67" s="276"/>
      <c r="AB67" s="197"/>
      <c r="AC67" s="454"/>
    </row>
    <row r="68" spans="1:29" s="7" customFormat="1" ht="33.75" customHeight="1">
      <c r="A68" s="455">
        <v>30</v>
      </c>
      <c r="B68" s="481"/>
      <c r="C68" s="13"/>
      <c r="D68" s="273" t="s">
        <v>177</v>
      </c>
      <c r="E68" s="216"/>
      <c r="F68" s="217"/>
      <c r="G68" s="217"/>
      <c r="H68" s="218"/>
      <c r="I68" s="218"/>
      <c r="J68" s="218"/>
      <c r="K68" s="218"/>
      <c r="L68" s="218"/>
      <c r="M68" s="218"/>
      <c r="N68" s="218"/>
      <c r="O68" s="218"/>
      <c r="P68" s="218"/>
      <c r="Q68" s="218"/>
      <c r="R68" s="218"/>
      <c r="S68" s="218"/>
      <c r="T68" s="218"/>
      <c r="U68" s="218"/>
      <c r="V68" s="218"/>
      <c r="W68" s="218"/>
      <c r="X68" s="218"/>
      <c r="Y68" s="218"/>
      <c r="Z68" s="218"/>
      <c r="AA68" s="218"/>
      <c r="AB68" s="196"/>
      <c r="AC68" s="453">
        <f t="shared" ref="AC68" si="25">SUM($E69:$G69)-SUM($I69:$AA69)+$AC66</f>
        <v>0</v>
      </c>
    </row>
    <row r="69" spans="1:29" s="7" customFormat="1" ht="33.75" customHeight="1" thickBot="1">
      <c r="A69" s="459"/>
      <c r="B69" s="482"/>
      <c r="C69" s="15"/>
      <c r="D69" s="274" t="s">
        <v>105</v>
      </c>
      <c r="E69" s="277"/>
      <c r="F69" s="278"/>
      <c r="G69" s="278"/>
      <c r="H69" s="276"/>
      <c r="I69" s="276"/>
      <c r="J69" s="276"/>
      <c r="K69" s="276"/>
      <c r="L69" s="276"/>
      <c r="M69" s="276"/>
      <c r="N69" s="276"/>
      <c r="O69" s="276"/>
      <c r="P69" s="276"/>
      <c r="Q69" s="276"/>
      <c r="R69" s="276"/>
      <c r="S69" s="276"/>
      <c r="T69" s="276"/>
      <c r="U69" s="276"/>
      <c r="V69" s="276"/>
      <c r="W69" s="276"/>
      <c r="X69" s="276"/>
      <c r="Y69" s="276"/>
      <c r="Z69" s="276"/>
      <c r="AA69" s="276"/>
      <c r="AB69" s="197"/>
      <c r="AC69" s="454"/>
    </row>
    <row r="70" spans="1:29" ht="46.5" customHeight="1">
      <c r="A70" s="469" t="s">
        <v>331</v>
      </c>
      <c r="B70" s="488"/>
      <c r="C70" s="470"/>
      <c r="D70" s="471"/>
      <c r="E70" s="287">
        <f>SUM(E$10:E$69)</f>
        <v>0</v>
      </c>
      <c r="F70" s="287">
        <f>SUM(F$10:F$69)</f>
        <v>0</v>
      </c>
      <c r="G70" s="287">
        <f>SUM(G$10:G$69)</f>
        <v>0</v>
      </c>
      <c r="H70" s="287">
        <f>SUMIF($D$10:$D$41,$D70,H$10:H$41)</f>
        <v>0</v>
      </c>
      <c r="I70" s="287">
        <f t="shared" ref="I70:AA70" si="26">SUM(I$10:I$69)</f>
        <v>0</v>
      </c>
      <c r="J70" s="287">
        <f t="shared" si="26"/>
        <v>0</v>
      </c>
      <c r="K70" s="287">
        <f t="shared" si="26"/>
        <v>0</v>
      </c>
      <c r="L70" s="287">
        <f t="shared" si="26"/>
        <v>0</v>
      </c>
      <c r="M70" s="287">
        <f t="shared" si="26"/>
        <v>0</v>
      </c>
      <c r="N70" s="287">
        <f t="shared" si="26"/>
        <v>0</v>
      </c>
      <c r="O70" s="287">
        <f t="shared" si="26"/>
        <v>0</v>
      </c>
      <c r="P70" s="287">
        <f t="shared" si="26"/>
        <v>0</v>
      </c>
      <c r="Q70" s="287">
        <f t="shared" si="26"/>
        <v>0</v>
      </c>
      <c r="R70" s="287">
        <f t="shared" si="26"/>
        <v>0</v>
      </c>
      <c r="S70" s="287">
        <f t="shared" si="26"/>
        <v>0</v>
      </c>
      <c r="T70" s="287">
        <f t="shared" si="26"/>
        <v>0</v>
      </c>
      <c r="U70" s="287">
        <f t="shared" si="26"/>
        <v>0</v>
      </c>
      <c r="V70" s="287">
        <f t="shared" si="26"/>
        <v>0</v>
      </c>
      <c r="W70" s="287">
        <f t="shared" si="26"/>
        <v>0</v>
      </c>
      <c r="X70" s="287">
        <f t="shared" si="26"/>
        <v>0</v>
      </c>
      <c r="Y70" s="287">
        <f t="shared" si="26"/>
        <v>0</v>
      </c>
      <c r="Z70" s="287">
        <f t="shared" si="26"/>
        <v>0</v>
      </c>
      <c r="AA70" s="287">
        <f t="shared" si="26"/>
        <v>0</v>
      </c>
      <c r="AB70" s="197">
        <f>SUMIF($D$10:$D$41,$D70,AB$10:AB$41)</f>
        <v>0</v>
      </c>
      <c r="AC70" s="193"/>
    </row>
    <row r="71" spans="1:29" ht="33.75" customHeight="1">
      <c r="B71" s="272" t="s">
        <v>330</v>
      </c>
      <c r="E71" s="288"/>
      <c r="F71" s="288"/>
      <c r="G71" s="288"/>
      <c r="H71" s="288"/>
      <c r="I71" s="288"/>
      <c r="J71" s="288"/>
      <c r="K71" s="288"/>
      <c r="L71" s="288"/>
      <c r="M71" s="288"/>
      <c r="N71" s="288"/>
      <c r="O71" s="288"/>
      <c r="P71" s="288"/>
      <c r="Q71" s="288"/>
      <c r="R71" s="288"/>
      <c r="S71" s="288"/>
      <c r="T71" s="288"/>
      <c r="U71" s="288"/>
      <c r="V71" s="288"/>
      <c r="W71" s="289"/>
      <c r="X71" s="289"/>
      <c r="Y71" s="288"/>
      <c r="Z71" s="288"/>
      <c r="AA71" s="288"/>
    </row>
  </sheetData>
  <sheetProtection sheet="1" objects="1" scenarios="1" selectLockedCells="1"/>
  <mergeCells count="133">
    <mergeCell ref="E5:G5"/>
    <mergeCell ref="I5:AA5"/>
    <mergeCell ref="E6:E7"/>
    <mergeCell ref="F6:F9"/>
    <mergeCell ref="G6:G7"/>
    <mergeCell ref="H6:H9"/>
    <mergeCell ref="A2:A9"/>
    <mergeCell ref="B2:B4"/>
    <mergeCell ref="C2:C4"/>
    <mergeCell ref="D2:G4"/>
    <mergeCell ref="H2:H4"/>
    <mergeCell ref="I2:AA4"/>
    <mergeCell ref="B6:B9"/>
    <mergeCell ref="C6:C9"/>
    <mergeCell ref="D6:D9"/>
    <mergeCell ref="J6:J9"/>
    <mergeCell ref="V6:V9"/>
    <mergeCell ref="K6:K9"/>
    <mergeCell ref="L6:L9"/>
    <mergeCell ref="M6:M9"/>
    <mergeCell ref="N6:N9"/>
    <mergeCell ref="O6:O9"/>
    <mergeCell ref="P6:P9"/>
    <mergeCell ref="R6:R9"/>
    <mergeCell ref="AB2:AB3"/>
    <mergeCell ref="AC2:AC3"/>
    <mergeCell ref="AB4:AB6"/>
    <mergeCell ref="AC4:AC6"/>
    <mergeCell ref="A12:A13"/>
    <mergeCell ref="B12:B13"/>
    <mergeCell ref="AC12:AC13"/>
    <mergeCell ref="A14:A15"/>
    <mergeCell ref="B14:B15"/>
    <mergeCell ref="AC14:AC15"/>
    <mergeCell ref="AB7:AB9"/>
    <mergeCell ref="AC7:AC9"/>
    <mergeCell ref="E8:E9"/>
    <mergeCell ref="G8:G9"/>
    <mergeCell ref="A10:A11"/>
    <mergeCell ref="B10:B11"/>
    <mergeCell ref="AC10:AC11"/>
    <mergeCell ref="W6:W9"/>
    <mergeCell ref="X6:X9"/>
    <mergeCell ref="Y6:Y9"/>
    <mergeCell ref="Z6:Z9"/>
    <mergeCell ref="I7:I8"/>
    <mergeCell ref="AA7:AA8"/>
    <mergeCell ref="Q6:Q9"/>
    <mergeCell ref="S6:S9"/>
    <mergeCell ref="T6:T9"/>
    <mergeCell ref="U6:U9"/>
    <mergeCell ref="A20:A21"/>
    <mergeCell ref="B20:B21"/>
    <mergeCell ref="AC20:AC21"/>
    <mergeCell ref="A22:A23"/>
    <mergeCell ref="B22:B23"/>
    <mergeCell ref="AC22:AC23"/>
    <mergeCell ref="A16:A17"/>
    <mergeCell ref="B16:B17"/>
    <mergeCell ref="AC16:AC17"/>
    <mergeCell ref="A18:A19"/>
    <mergeCell ref="B18:B19"/>
    <mergeCell ref="AC18:AC19"/>
    <mergeCell ref="A28:A29"/>
    <mergeCell ref="B28:B29"/>
    <mergeCell ref="AC28:AC29"/>
    <mergeCell ref="A30:A31"/>
    <mergeCell ref="B30:B31"/>
    <mergeCell ref="AC30:AC31"/>
    <mergeCell ref="A24:A25"/>
    <mergeCell ref="B24:B25"/>
    <mergeCell ref="AC24:AC25"/>
    <mergeCell ref="A26:A27"/>
    <mergeCell ref="B26:B27"/>
    <mergeCell ref="AC26:AC27"/>
    <mergeCell ref="A36:A37"/>
    <mergeCell ref="B36:B37"/>
    <mergeCell ref="AC36:AC37"/>
    <mergeCell ref="A38:A39"/>
    <mergeCell ref="B38:B39"/>
    <mergeCell ref="AC38:AC39"/>
    <mergeCell ref="A32:A33"/>
    <mergeCell ref="B32:B33"/>
    <mergeCell ref="AC32:AC33"/>
    <mergeCell ref="A34:A35"/>
    <mergeCell ref="B34:B35"/>
    <mergeCell ref="AC34:AC35"/>
    <mergeCell ref="A44:A45"/>
    <mergeCell ref="B44:B45"/>
    <mergeCell ref="AC44:AC45"/>
    <mergeCell ref="A46:A47"/>
    <mergeCell ref="B46:B47"/>
    <mergeCell ref="AC46:AC47"/>
    <mergeCell ref="A40:A41"/>
    <mergeCell ref="B40:B41"/>
    <mergeCell ref="AC40:AC41"/>
    <mergeCell ref="A42:A43"/>
    <mergeCell ref="B42:B43"/>
    <mergeCell ref="AC42:AC43"/>
    <mergeCell ref="A52:A53"/>
    <mergeCell ref="B52:B53"/>
    <mergeCell ref="AC52:AC53"/>
    <mergeCell ref="A54:A55"/>
    <mergeCell ref="B54:B55"/>
    <mergeCell ref="AC54:AC55"/>
    <mergeCell ref="A48:A49"/>
    <mergeCell ref="B48:B49"/>
    <mergeCell ref="AC48:AC49"/>
    <mergeCell ref="A50:A51"/>
    <mergeCell ref="B50:B51"/>
    <mergeCell ref="AC50:AC51"/>
    <mergeCell ref="A60:A61"/>
    <mergeCell ref="B60:B61"/>
    <mergeCell ref="AC60:AC61"/>
    <mergeCell ref="A62:A63"/>
    <mergeCell ref="B62:B63"/>
    <mergeCell ref="AC62:AC63"/>
    <mergeCell ref="A56:A57"/>
    <mergeCell ref="B56:B57"/>
    <mergeCell ref="AC56:AC57"/>
    <mergeCell ref="A58:A59"/>
    <mergeCell ref="B58:B59"/>
    <mergeCell ref="AC58:AC59"/>
    <mergeCell ref="A68:A69"/>
    <mergeCell ref="B68:B69"/>
    <mergeCell ref="AC68:AC69"/>
    <mergeCell ref="A70:D70"/>
    <mergeCell ref="A64:A65"/>
    <mergeCell ref="B64:B65"/>
    <mergeCell ref="AC64:AC65"/>
    <mergeCell ref="A66:A67"/>
    <mergeCell ref="B66:B67"/>
    <mergeCell ref="AC66:AC67"/>
  </mergeCells>
  <phoneticPr fontId="1"/>
  <pageMargins left="0.47244094488188981" right="0.31496062992125984" top="0.59055118110236227" bottom="0.19685039370078741" header="0.31496062992125984" footer="0.31496062992125984"/>
  <pageSetup paperSize="9" scale="45" orientation="landscape" r:id="rId1"/>
  <rowBreaks count="1" manualBreakCount="1">
    <brk id="3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EB0EA-1CAB-429F-BC90-68A31CB8E6C0}">
  <dimension ref="A1:AC73"/>
  <sheetViews>
    <sheetView zoomScale="50" zoomScaleNormal="50" workbookViewId="0">
      <pane xSplit="4" ySplit="9" topLeftCell="E70" activePane="bottomRight" state="frozen"/>
      <selection activeCell="E10" sqref="E10:AA71"/>
      <selection pane="topRight" activeCell="E10" sqref="E10:AA71"/>
      <selection pane="bottomLeft" activeCell="E10" sqref="E10:AA71"/>
      <selection pane="bottomRight" activeCell="AA11" sqref="E11:AA11"/>
    </sheetView>
  </sheetViews>
  <sheetFormatPr defaultRowHeight="33.75" customHeight="1"/>
  <cols>
    <col min="1" max="1" width="3.625" customWidth="1"/>
    <col min="2" max="2" width="34.375" customWidth="1"/>
    <col min="3" max="3" width="0.375" customWidth="1"/>
    <col min="4" max="4" width="4.625" customWidth="1"/>
    <col min="5" max="7" width="10" customWidth="1"/>
    <col min="8" max="8" width="0.25" customWidth="1"/>
    <col min="9" max="22" width="10" customWidth="1"/>
    <col min="23" max="24" width="10" style="17" customWidth="1"/>
    <col min="25" max="27" width="10" customWidth="1"/>
    <col min="28" max="28" width="0.25" customWidth="1"/>
    <col min="29" max="29" width="14" customWidth="1"/>
  </cols>
  <sheetData>
    <row r="1" spans="1:29" ht="26.25" customHeight="1" thickBot="1">
      <c r="B1" s="4"/>
    </row>
    <row r="2" spans="1:29" ht="15" customHeight="1">
      <c r="A2" s="377" t="s">
        <v>24</v>
      </c>
      <c r="B2" s="380" t="s">
        <v>335</v>
      </c>
      <c r="C2" s="383"/>
      <c r="D2" s="355" t="s">
        <v>189</v>
      </c>
      <c r="E2" s="356"/>
      <c r="F2" s="356"/>
      <c r="G2" s="356"/>
      <c r="H2" s="386"/>
      <c r="I2" s="355" t="s">
        <v>188</v>
      </c>
      <c r="J2" s="356"/>
      <c r="K2" s="356"/>
      <c r="L2" s="356"/>
      <c r="M2" s="356"/>
      <c r="N2" s="356"/>
      <c r="O2" s="356"/>
      <c r="P2" s="356"/>
      <c r="Q2" s="356"/>
      <c r="R2" s="356"/>
      <c r="S2" s="356"/>
      <c r="T2" s="356"/>
      <c r="U2" s="356"/>
      <c r="V2" s="356"/>
      <c r="W2" s="356"/>
      <c r="X2" s="356"/>
      <c r="Y2" s="356"/>
      <c r="Z2" s="356"/>
      <c r="AA2" s="356"/>
      <c r="AB2" s="424"/>
      <c r="AC2" s="445" t="s">
        <v>265</v>
      </c>
    </row>
    <row r="3" spans="1:29" ht="18.75" customHeight="1">
      <c r="A3" s="378"/>
      <c r="B3" s="381"/>
      <c r="C3" s="384"/>
      <c r="D3" s="358"/>
      <c r="E3" s="359"/>
      <c r="F3" s="359"/>
      <c r="G3" s="359"/>
      <c r="H3" s="387"/>
      <c r="I3" s="358"/>
      <c r="J3" s="359"/>
      <c r="K3" s="359"/>
      <c r="L3" s="359"/>
      <c r="M3" s="359"/>
      <c r="N3" s="359"/>
      <c r="O3" s="359"/>
      <c r="P3" s="359"/>
      <c r="Q3" s="359"/>
      <c r="R3" s="359"/>
      <c r="S3" s="359"/>
      <c r="T3" s="359"/>
      <c r="U3" s="359"/>
      <c r="V3" s="359"/>
      <c r="W3" s="359"/>
      <c r="X3" s="359"/>
      <c r="Y3" s="359"/>
      <c r="Z3" s="359"/>
      <c r="AA3" s="359"/>
      <c r="AB3" s="425"/>
      <c r="AC3" s="446"/>
    </row>
    <row r="4" spans="1:29" ht="11.25" customHeight="1">
      <c r="A4" s="378"/>
      <c r="B4" s="382"/>
      <c r="C4" s="385"/>
      <c r="D4" s="361"/>
      <c r="E4" s="362"/>
      <c r="F4" s="362"/>
      <c r="G4" s="362"/>
      <c r="H4" s="388"/>
      <c r="I4" s="361"/>
      <c r="J4" s="362"/>
      <c r="K4" s="362"/>
      <c r="L4" s="362"/>
      <c r="M4" s="362"/>
      <c r="N4" s="362"/>
      <c r="O4" s="362"/>
      <c r="P4" s="362"/>
      <c r="Q4" s="362"/>
      <c r="R4" s="362"/>
      <c r="S4" s="362"/>
      <c r="T4" s="362"/>
      <c r="U4" s="362"/>
      <c r="V4" s="362"/>
      <c r="W4" s="362"/>
      <c r="X4" s="362"/>
      <c r="Y4" s="362"/>
      <c r="Z4" s="362"/>
      <c r="AA4" s="362"/>
      <c r="AB4" s="434"/>
      <c r="AC4" s="447" t="s">
        <v>49</v>
      </c>
    </row>
    <row r="5" spans="1:29" ht="2.25" customHeight="1">
      <c r="A5" s="378"/>
      <c r="B5" s="38"/>
      <c r="C5" s="3"/>
      <c r="D5" s="204"/>
      <c r="E5" s="397"/>
      <c r="F5" s="398"/>
      <c r="G5" s="398"/>
      <c r="H5" s="3"/>
      <c r="I5" s="397"/>
      <c r="J5" s="398"/>
      <c r="K5" s="398"/>
      <c r="L5" s="398"/>
      <c r="M5" s="398"/>
      <c r="N5" s="398"/>
      <c r="O5" s="398"/>
      <c r="P5" s="398"/>
      <c r="Q5" s="398"/>
      <c r="R5" s="398"/>
      <c r="S5" s="398"/>
      <c r="T5" s="398"/>
      <c r="U5" s="398"/>
      <c r="V5" s="398"/>
      <c r="W5" s="398"/>
      <c r="X5" s="398"/>
      <c r="Y5" s="398"/>
      <c r="Z5" s="398"/>
      <c r="AA5" s="398"/>
      <c r="AB5" s="435"/>
      <c r="AC5" s="448"/>
    </row>
    <row r="6" spans="1:29" s="201" customFormat="1" ht="15" customHeight="1">
      <c r="A6" s="378"/>
      <c r="B6" s="389" t="s">
        <v>51</v>
      </c>
      <c r="C6" s="391"/>
      <c r="D6" s="391"/>
      <c r="E6" s="391" t="s">
        <v>26</v>
      </c>
      <c r="F6" s="391" t="str">
        <f>雑収入</f>
        <v>雑収入</v>
      </c>
      <c r="G6" s="444" t="s">
        <v>27</v>
      </c>
      <c r="H6" s="391"/>
      <c r="I6" s="199" t="s">
        <v>28</v>
      </c>
      <c r="J6" s="391" t="str">
        <f>租税公課</f>
        <v>租税公課</v>
      </c>
      <c r="K6" s="391" t="s">
        <v>101</v>
      </c>
      <c r="L6" s="391" t="s">
        <v>6</v>
      </c>
      <c r="M6" s="364" t="str">
        <f>通信費</f>
        <v>通信費</v>
      </c>
      <c r="N6" s="391" t="s">
        <v>8</v>
      </c>
      <c r="O6" s="391" t="s">
        <v>9</v>
      </c>
      <c r="P6" s="391" t="s">
        <v>10</v>
      </c>
      <c r="Q6" s="364" t="str">
        <f>修繕費</f>
        <v>修繕費</v>
      </c>
      <c r="R6" s="391" t="str">
        <f>消耗品費</f>
        <v>消耗品費</v>
      </c>
      <c r="S6" s="391" t="s">
        <v>97</v>
      </c>
      <c r="T6" s="391" t="str">
        <f>給料賃金</f>
        <v>給料賃金</v>
      </c>
      <c r="U6" s="391" t="str">
        <f>外注工賃</f>
        <v>外注工賃</v>
      </c>
      <c r="V6" s="391" t="s">
        <v>16</v>
      </c>
      <c r="W6" s="364" t="str">
        <f>車両費</f>
        <v>車両費</v>
      </c>
      <c r="X6" s="484" t="str">
        <f>空欄1</f>
        <v>空欄1</v>
      </c>
      <c r="Y6" s="391" t="str">
        <f>空欄2</f>
        <v>空欄2</v>
      </c>
      <c r="Z6" s="391" t="str">
        <f>雑費</f>
        <v>雑費</v>
      </c>
      <c r="AA6" s="200" t="s">
        <v>143</v>
      </c>
      <c r="AB6" s="425"/>
      <c r="AC6" s="446"/>
    </row>
    <row r="7" spans="1:29" s="201" customFormat="1" ht="7.5" customHeight="1">
      <c r="A7" s="378"/>
      <c r="B7" s="387"/>
      <c r="C7" s="392"/>
      <c r="D7" s="392"/>
      <c r="E7" s="392"/>
      <c r="F7" s="392"/>
      <c r="G7" s="426"/>
      <c r="H7" s="392"/>
      <c r="I7" s="366" t="s">
        <v>38</v>
      </c>
      <c r="J7" s="392"/>
      <c r="K7" s="392"/>
      <c r="L7" s="392"/>
      <c r="M7" s="366"/>
      <c r="N7" s="392"/>
      <c r="O7" s="392"/>
      <c r="P7" s="392"/>
      <c r="Q7" s="366"/>
      <c r="R7" s="392"/>
      <c r="S7" s="392"/>
      <c r="T7" s="392"/>
      <c r="U7" s="392"/>
      <c r="V7" s="392"/>
      <c r="W7" s="366"/>
      <c r="X7" s="485"/>
      <c r="Y7" s="392"/>
      <c r="Z7" s="392"/>
      <c r="AA7" s="426" t="s">
        <v>98</v>
      </c>
      <c r="AB7" s="391"/>
      <c r="AC7" s="489">
        <f>繰越・4月</f>
        <v>0</v>
      </c>
    </row>
    <row r="8" spans="1:29" s="201" customFormat="1" ht="7.5" customHeight="1">
      <c r="A8" s="378"/>
      <c r="B8" s="387"/>
      <c r="C8" s="392"/>
      <c r="D8" s="392"/>
      <c r="E8" s="392" t="s">
        <v>36</v>
      </c>
      <c r="F8" s="392"/>
      <c r="G8" s="426" t="s">
        <v>37</v>
      </c>
      <c r="H8" s="392"/>
      <c r="I8" s="366"/>
      <c r="J8" s="392"/>
      <c r="K8" s="392"/>
      <c r="L8" s="392"/>
      <c r="M8" s="366"/>
      <c r="N8" s="392"/>
      <c r="O8" s="392"/>
      <c r="P8" s="392"/>
      <c r="Q8" s="366"/>
      <c r="R8" s="392"/>
      <c r="S8" s="392"/>
      <c r="T8" s="392"/>
      <c r="U8" s="392"/>
      <c r="V8" s="392"/>
      <c r="W8" s="366"/>
      <c r="X8" s="485"/>
      <c r="Y8" s="392"/>
      <c r="Z8" s="392"/>
      <c r="AA8" s="426"/>
      <c r="AB8" s="392"/>
      <c r="AC8" s="490"/>
    </row>
    <row r="9" spans="1:29" s="201" customFormat="1" ht="15" customHeight="1" thickBot="1">
      <c r="A9" s="379"/>
      <c r="B9" s="390"/>
      <c r="C9" s="393"/>
      <c r="D9" s="393"/>
      <c r="E9" s="393"/>
      <c r="F9" s="393"/>
      <c r="G9" s="416"/>
      <c r="H9" s="393"/>
      <c r="I9" s="202" t="s">
        <v>50</v>
      </c>
      <c r="J9" s="393"/>
      <c r="K9" s="393"/>
      <c r="L9" s="393"/>
      <c r="M9" s="368"/>
      <c r="N9" s="393"/>
      <c r="O9" s="393"/>
      <c r="P9" s="393"/>
      <c r="Q9" s="368"/>
      <c r="R9" s="393"/>
      <c r="S9" s="393"/>
      <c r="T9" s="393"/>
      <c r="U9" s="393"/>
      <c r="V9" s="393"/>
      <c r="W9" s="368"/>
      <c r="X9" s="486"/>
      <c r="Y9" s="393"/>
      <c r="Z9" s="393"/>
      <c r="AA9" s="203" t="s">
        <v>231</v>
      </c>
      <c r="AB9" s="392"/>
      <c r="AC9" s="490"/>
    </row>
    <row r="10" spans="1:29" s="7" customFormat="1" ht="33.75" customHeight="1">
      <c r="A10" s="455">
        <v>1</v>
      </c>
      <c r="B10" s="481"/>
      <c r="C10" s="13"/>
      <c r="D10" s="273" t="s">
        <v>177</v>
      </c>
      <c r="E10" s="216"/>
      <c r="F10" s="217"/>
      <c r="G10" s="217"/>
      <c r="H10" s="218"/>
      <c r="I10" s="217"/>
      <c r="J10" s="218"/>
      <c r="K10" s="217"/>
      <c r="L10" s="218"/>
      <c r="M10" s="217"/>
      <c r="N10" s="218"/>
      <c r="O10" s="217"/>
      <c r="P10" s="218"/>
      <c r="Q10" s="217"/>
      <c r="R10" s="218"/>
      <c r="S10" s="217"/>
      <c r="T10" s="218"/>
      <c r="U10" s="217"/>
      <c r="V10" s="217"/>
      <c r="W10" s="217"/>
      <c r="X10" s="219"/>
      <c r="Y10" s="217"/>
      <c r="Z10" s="217"/>
      <c r="AA10" s="217"/>
      <c r="AB10" s="196"/>
      <c r="AC10" s="460">
        <f>SUM($E11:$G11)-SUM($I11:$AA11)+$AC$7</f>
        <v>0</v>
      </c>
    </row>
    <row r="11" spans="1:29" s="7" customFormat="1" ht="33.75" customHeight="1" thickBot="1">
      <c r="A11" s="459"/>
      <c r="B11" s="487"/>
      <c r="C11" s="15"/>
      <c r="D11" s="274" t="s">
        <v>105</v>
      </c>
      <c r="E11" s="277"/>
      <c r="F11" s="278"/>
      <c r="G11" s="278"/>
      <c r="H11" s="276"/>
      <c r="I11" s="278"/>
      <c r="J11" s="276"/>
      <c r="K11" s="278"/>
      <c r="L11" s="276"/>
      <c r="M11" s="278"/>
      <c r="N11" s="276"/>
      <c r="O11" s="278"/>
      <c r="P11" s="276"/>
      <c r="Q11" s="278"/>
      <c r="R11" s="276"/>
      <c r="S11" s="278"/>
      <c r="T11" s="276"/>
      <c r="U11" s="278"/>
      <c r="V11" s="278"/>
      <c r="W11" s="278"/>
      <c r="X11" s="284"/>
      <c r="Y11" s="278"/>
      <c r="Z11" s="278"/>
      <c r="AA11" s="278"/>
      <c r="AB11" s="197"/>
      <c r="AC11" s="454"/>
    </row>
    <row r="12" spans="1:29" s="7" customFormat="1" ht="33.75" customHeight="1">
      <c r="A12" s="449">
        <v>2</v>
      </c>
      <c r="B12" s="483"/>
      <c r="C12" s="13"/>
      <c r="D12" s="273" t="s">
        <v>177</v>
      </c>
      <c r="E12" s="216"/>
      <c r="F12" s="217"/>
      <c r="G12" s="217"/>
      <c r="H12" s="218"/>
      <c r="I12" s="218"/>
      <c r="J12" s="218"/>
      <c r="K12" s="218"/>
      <c r="L12" s="218"/>
      <c r="M12" s="218"/>
      <c r="N12" s="218"/>
      <c r="O12" s="218"/>
      <c r="P12" s="218"/>
      <c r="Q12" s="218"/>
      <c r="R12" s="218"/>
      <c r="S12" s="218"/>
      <c r="T12" s="218"/>
      <c r="U12" s="218"/>
      <c r="V12" s="218"/>
      <c r="W12" s="218"/>
      <c r="X12" s="221"/>
      <c r="Y12" s="218"/>
      <c r="Z12" s="218"/>
      <c r="AA12" s="218"/>
      <c r="AB12" s="196"/>
      <c r="AC12" s="453">
        <f>SUM($E13:$G13)-SUM($I13:$AA13)+$AC10</f>
        <v>0</v>
      </c>
    </row>
    <row r="13" spans="1:29" s="7" customFormat="1" ht="33.75" customHeight="1" thickBot="1">
      <c r="A13" s="450"/>
      <c r="B13" s="482"/>
      <c r="C13" s="15"/>
      <c r="D13" s="274" t="s">
        <v>105</v>
      </c>
      <c r="E13" s="277"/>
      <c r="F13" s="278"/>
      <c r="G13" s="278"/>
      <c r="H13" s="276"/>
      <c r="I13" s="276"/>
      <c r="J13" s="276"/>
      <c r="K13" s="276"/>
      <c r="L13" s="276"/>
      <c r="M13" s="276"/>
      <c r="N13" s="276"/>
      <c r="O13" s="276"/>
      <c r="P13" s="276"/>
      <c r="Q13" s="276"/>
      <c r="R13" s="276"/>
      <c r="S13" s="276"/>
      <c r="T13" s="276"/>
      <c r="U13" s="276"/>
      <c r="V13" s="276"/>
      <c r="W13" s="276"/>
      <c r="X13" s="279"/>
      <c r="Y13" s="276"/>
      <c r="Z13" s="276"/>
      <c r="AA13" s="276"/>
      <c r="AB13" s="197"/>
      <c r="AC13" s="454"/>
    </row>
    <row r="14" spans="1:29" s="7" customFormat="1" ht="33.75" customHeight="1">
      <c r="A14" s="455">
        <v>3</v>
      </c>
      <c r="B14" s="481"/>
      <c r="C14" s="13"/>
      <c r="D14" s="273" t="s">
        <v>177</v>
      </c>
      <c r="E14" s="216"/>
      <c r="F14" s="217"/>
      <c r="G14" s="217"/>
      <c r="H14" s="218"/>
      <c r="I14" s="218"/>
      <c r="J14" s="218"/>
      <c r="K14" s="218"/>
      <c r="L14" s="218"/>
      <c r="M14" s="218"/>
      <c r="N14" s="218"/>
      <c r="O14" s="218"/>
      <c r="P14" s="218"/>
      <c r="Q14" s="218"/>
      <c r="R14" s="218"/>
      <c r="S14" s="218"/>
      <c r="T14" s="218"/>
      <c r="U14" s="218"/>
      <c r="V14" s="218"/>
      <c r="W14" s="218"/>
      <c r="X14" s="221"/>
      <c r="Y14" s="218"/>
      <c r="Z14" s="218"/>
      <c r="AA14" s="218"/>
      <c r="AB14" s="196"/>
      <c r="AC14" s="453">
        <f>SUM($E15:$G15)-SUM($I15:$AA15)+$AC12</f>
        <v>0</v>
      </c>
    </row>
    <row r="15" spans="1:29" s="7" customFormat="1" ht="33.75" customHeight="1" thickBot="1">
      <c r="A15" s="456"/>
      <c r="B15" s="482"/>
      <c r="C15" s="15"/>
      <c r="D15" s="274" t="s">
        <v>105</v>
      </c>
      <c r="E15" s="277"/>
      <c r="F15" s="278"/>
      <c r="G15" s="278"/>
      <c r="H15" s="276"/>
      <c r="I15" s="276"/>
      <c r="J15" s="276"/>
      <c r="K15" s="276"/>
      <c r="L15" s="276"/>
      <c r="M15" s="276"/>
      <c r="N15" s="276"/>
      <c r="O15" s="276"/>
      <c r="P15" s="276"/>
      <c r="Q15" s="276"/>
      <c r="R15" s="276"/>
      <c r="S15" s="276"/>
      <c r="T15" s="276"/>
      <c r="U15" s="276"/>
      <c r="V15" s="276"/>
      <c r="W15" s="276"/>
      <c r="X15" s="279"/>
      <c r="Y15" s="276"/>
      <c r="Z15" s="276"/>
      <c r="AA15" s="276"/>
      <c r="AB15" s="197"/>
      <c r="AC15" s="454"/>
    </row>
    <row r="16" spans="1:29" s="7" customFormat="1" ht="33.75" customHeight="1">
      <c r="A16" s="464">
        <v>4</v>
      </c>
      <c r="B16" s="481"/>
      <c r="C16" s="13"/>
      <c r="D16" s="273" t="s">
        <v>177</v>
      </c>
      <c r="E16" s="216"/>
      <c r="F16" s="217"/>
      <c r="G16" s="217"/>
      <c r="H16" s="218"/>
      <c r="I16" s="218"/>
      <c r="J16" s="218"/>
      <c r="K16" s="218"/>
      <c r="L16" s="218"/>
      <c r="M16" s="218"/>
      <c r="N16" s="218"/>
      <c r="O16" s="218"/>
      <c r="P16" s="218"/>
      <c r="Q16" s="218"/>
      <c r="R16" s="218"/>
      <c r="S16" s="218"/>
      <c r="T16" s="218"/>
      <c r="U16" s="218"/>
      <c r="V16" s="218"/>
      <c r="W16" s="218"/>
      <c r="X16" s="221"/>
      <c r="Y16" s="218"/>
      <c r="Z16" s="218"/>
      <c r="AA16" s="218"/>
      <c r="AB16" s="196"/>
      <c r="AC16" s="453">
        <f t="shared" ref="AC16" si="0">SUM($E17:$G17)-SUM($I17:$AA17)+$AC14</f>
        <v>0</v>
      </c>
    </row>
    <row r="17" spans="1:29" s="7" customFormat="1" ht="33.75" customHeight="1" thickBot="1">
      <c r="A17" s="450"/>
      <c r="B17" s="482"/>
      <c r="C17" s="15"/>
      <c r="D17" s="274" t="s">
        <v>105</v>
      </c>
      <c r="E17" s="277"/>
      <c r="F17" s="278"/>
      <c r="G17" s="278"/>
      <c r="H17" s="276"/>
      <c r="I17" s="276"/>
      <c r="J17" s="276"/>
      <c r="K17" s="276"/>
      <c r="L17" s="276"/>
      <c r="M17" s="276"/>
      <c r="N17" s="276"/>
      <c r="O17" s="276"/>
      <c r="P17" s="276"/>
      <c r="Q17" s="276"/>
      <c r="R17" s="276"/>
      <c r="S17" s="276"/>
      <c r="T17" s="276"/>
      <c r="U17" s="276"/>
      <c r="V17" s="276"/>
      <c r="W17" s="276"/>
      <c r="X17" s="279"/>
      <c r="Y17" s="276"/>
      <c r="Z17" s="276"/>
      <c r="AA17" s="276"/>
      <c r="AB17" s="197"/>
      <c r="AC17" s="454"/>
    </row>
    <row r="18" spans="1:29" s="7" customFormat="1" ht="33.75" customHeight="1">
      <c r="A18" s="455">
        <v>5</v>
      </c>
      <c r="B18" s="481"/>
      <c r="C18" s="13"/>
      <c r="D18" s="273" t="s">
        <v>177</v>
      </c>
      <c r="E18" s="216"/>
      <c r="F18" s="217"/>
      <c r="G18" s="217"/>
      <c r="H18" s="218"/>
      <c r="I18" s="218"/>
      <c r="J18" s="218"/>
      <c r="K18" s="218"/>
      <c r="L18" s="218"/>
      <c r="M18" s="218"/>
      <c r="N18" s="218"/>
      <c r="O18" s="218"/>
      <c r="P18" s="218"/>
      <c r="Q18" s="218"/>
      <c r="R18" s="218"/>
      <c r="S18" s="218"/>
      <c r="T18" s="218"/>
      <c r="U18" s="218"/>
      <c r="V18" s="218"/>
      <c r="W18" s="218"/>
      <c r="X18" s="221"/>
      <c r="Y18" s="218"/>
      <c r="Z18" s="218"/>
      <c r="AA18" s="218"/>
      <c r="AB18" s="196"/>
      <c r="AC18" s="453">
        <f t="shared" ref="AC18" si="1">SUM($E19:$G19)-SUM($I19:$AA19)+$AC16</f>
        <v>0</v>
      </c>
    </row>
    <row r="19" spans="1:29" s="7" customFormat="1" ht="33.75" customHeight="1" thickBot="1">
      <c r="A19" s="456"/>
      <c r="B19" s="482"/>
      <c r="C19" s="15"/>
      <c r="D19" s="274" t="s">
        <v>105</v>
      </c>
      <c r="E19" s="277"/>
      <c r="F19" s="278"/>
      <c r="G19" s="278"/>
      <c r="H19" s="276"/>
      <c r="I19" s="276"/>
      <c r="J19" s="276"/>
      <c r="K19" s="276"/>
      <c r="L19" s="276"/>
      <c r="M19" s="276"/>
      <c r="N19" s="276"/>
      <c r="O19" s="276"/>
      <c r="P19" s="276"/>
      <c r="Q19" s="276"/>
      <c r="R19" s="276"/>
      <c r="S19" s="276"/>
      <c r="T19" s="276"/>
      <c r="U19" s="276"/>
      <c r="V19" s="276"/>
      <c r="W19" s="276"/>
      <c r="X19" s="279"/>
      <c r="Y19" s="276"/>
      <c r="Z19" s="276"/>
      <c r="AA19" s="276"/>
      <c r="AB19" s="197"/>
      <c r="AC19" s="454"/>
    </row>
    <row r="20" spans="1:29" s="7" customFormat="1" ht="33.75" customHeight="1">
      <c r="A20" s="464">
        <v>6</v>
      </c>
      <c r="B20" s="481"/>
      <c r="C20" s="13"/>
      <c r="D20" s="273" t="s">
        <v>177</v>
      </c>
      <c r="E20" s="216"/>
      <c r="F20" s="217"/>
      <c r="G20" s="217"/>
      <c r="H20" s="218"/>
      <c r="I20" s="218"/>
      <c r="J20" s="218"/>
      <c r="K20" s="218"/>
      <c r="L20" s="218"/>
      <c r="M20" s="218"/>
      <c r="N20" s="218"/>
      <c r="O20" s="218"/>
      <c r="P20" s="218"/>
      <c r="Q20" s="218"/>
      <c r="R20" s="218"/>
      <c r="S20" s="218"/>
      <c r="T20" s="218"/>
      <c r="U20" s="218"/>
      <c r="V20" s="218"/>
      <c r="W20" s="218"/>
      <c r="X20" s="221"/>
      <c r="Y20" s="218"/>
      <c r="Z20" s="218"/>
      <c r="AA20" s="218"/>
      <c r="AB20" s="196"/>
      <c r="AC20" s="453">
        <f t="shared" ref="AC20" si="2">SUM($E21:$G21)-SUM($I21:$AA21)+$AC18</f>
        <v>0</v>
      </c>
    </row>
    <row r="21" spans="1:29" s="7" customFormat="1" ht="33.75" customHeight="1" thickBot="1">
      <c r="A21" s="450"/>
      <c r="B21" s="482"/>
      <c r="C21" s="15"/>
      <c r="D21" s="274" t="s">
        <v>105</v>
      </c>
      <c r="E21" s="277"/>
      <c r="F21" s="278"/>
      <c r="G21" s="278"/>
      <c r="H21" s="276"/>
      <c r="I21" s="276"/>
      <c r="J21" s="276"/>
      <c r="K21" s="276"/>
      <c r="L21" s="276"/>
      <c r="M21" s="276"/>
      <c r="N21" s="276"/>
      <c r="O21" s="276"/>
      <c r="P21" s="276"/>
      <c r="Q21" s="276"/>
      <c r="R21" s="276"/>
      <c r="S21" s="276"/>
      <c r="T21" s="276"/>
      <c r="U21" s="276"/>
      <c r="V21" s="276"/>
      <c r="W21" s="276"/>
      <c r="X21" s="279"/>
      <c r="Y21" s="276"/>
      <c r="Z21" s="276"/>
      <c r="AA21" s="276"/>
      <c r="AB21" s="197"/>
      <c r="AC21" s="454"/>
    </row>
    <row r="22" spans="1:29" s="7" customFormat="1" ht="33.75" customHeight="1">
      <c r="A22" s="455">
        <v>7</v>
      </c>
      <c r="B22" s="481"/>
      <c r="C22" s="13"/>
      <c r="D22" s="273" t="s">
        <v>177</v>
      </c>
      <c r="E22" s="216"/>
      <c r="F22" s="217"/>
      <c r="G22" s="217"/>
      <c r="H22" s="218"/>
      <c r="I22" s="218"/>
      <c r="J22" s="218"/>
      <c r="K22" s="218"/>
      <c r="L22" s="218"/>
      <c r="M22" s="218"/>
      <c r="N22" s="218"/>
      <c r="O22" s="218"/>
      <c r="P22" s="218"/>
      <c r="Q22" s="218"/>
      <c r="R22" s="218"/>
      <c r="S22" s="218"/>
      <c r="T22" s="218"/>
      <c r="U22" s="218"/>
      <c r="V22" s="218"/>
      <c r="W22" s="218"/>
      <c r="X22" s="221"/>
      <c r="Y22" s="218"/>
      <c r="Z22" s="218"/>
      <c r="AA22" s="218"/>
      <c r="AB22" s="196"/>
      <c r="AC22" s="453">
        <f t="shared" ref="AC22" si="3">SUM($E23:$G23)-SUM($I23:$AA23)+$AC20</f>
        <v>0</v>
      </c>
    </row>
    <row r="23" spans="1:29" s="7" customFormat="1" ht="33.75" customHeight="1" thickBot="1">
      <c r="A23" s="456"/>
      <c r="B23" s="482"/>
      <c r="C23" s="15"/>
      <c r="D23" s="274" t="s">
        <v>105</v>
      </c>
      <c r="E23" s="277"/>
      <c r="F23" s="278"/>
      <c r="G23" s="278"/>
      <c r="H23" s="276"/>
      <c r="I23" s="276"/>
      <c r="J23" s="276"/>
      <c r="K23" s="276"/>
      <c r="L23" s="276"/>
      <c r="M23" s="276"/>
      <c r="N23" s="276"/>
      <c r="O23" s="276"/>
      <c r="P23" s="276"/>
      <c r="Q23" s="276"/>
      <c r="R23" s="276"/>
      <c r="S23" s="276"/>
      <c r="T23" s="276"/>
      <c r="U23" s="276"/>
      <c r="V23" s="276"/>
      <c r="W23" s="276"/>
      <c r="X23" s="279"/>
      <c r="Y23" s="276"/>
      <c r="Z23" s="276"/>
      <c r="AA23" s="276"/>
      <c r="AB23" s="197"/>
      <c r="AC23" s="454"/>
    </row>
    <row r="24" spans="1:29" s="7" customFormat="1" ht="33.75" customHeight="1">
      <c r="A24" s="464">
        <v>8</v>
      </c>
      <c r="B24" s="481"/>
      <c r="C24" s="13"/>
      <c r="D24" s="273" t="s">
        <v>177</v>
      </c>
      <c r="E24" s="216"/>
      <c r="F24" s="217"/>
      <c r="G24" s="217"/>
      <c r="H24" s="218"/>
      <c r="I24" s="218"/>
      <c r="J24" s="218"/>
      <c r="K24" s="218"/>
      <c r="L24" s="218"/>
      <c r="M24" s="218"/>
      <c r="N24" s="218"/>
      <c r="O24" s="218"/>
      <c r="P24" s="218"/>
      <c r="Q24" s="218"/>
      <c r="R24" s="218"/>
      <c r="S24" s="218"/>
      <c r="T24" s="218"/>
      <c r="U24" s="218"/>
      <c r="V24" s="218"/>
      <c r="W24" s="218"/>
      <c r="X24" s="221"/>
      <c r="Y24" s="218"/>
      <c r="Z24" s="218"/>
      <c r="AA24" s="218"/>
      <c r="AB24" s="196"/>
      <c r="AC24" s="453">
        <f t="shared" ref="AC24" si="4">SUM($E25:$G25)-SUM($I25:$AA25)+$AC22</f>
        <v>0</v>
      </c>
    </row>
    <row r="25" spans="1:29" s="7" customFormat="1" ht="33.75" customHeight="1" thickBot="1">
      <c r="A25" s="450"/>
      <c r="B25" s="482"/>
      <c r="C25" s="15"/>
      <c r="D25" s="274" t="s">
        <v>105</v>
      </c>
      <c r="E25" s="277"/>
      <c r="F25" s="278"/>
      <c r="G25" s="278"/>
      <c r="H25" s="276"/>
      <c r="I25" s="276"/>
      <c r="J25" s="276"/>
      <c r="K25" s="276"/>
      <c r="L25" s="276"/>
      <c r="M25" s="276"/>
      <c r="N25" s="276"/>
      <c r="O25" s="276"/>
      <c r="P25" s="276"/>
      <c r="Q25" s="276"/>
      <c r="R25" s="276"/>
      <c r="S25" s="276"/>
      <c r="T25" s="276"/>
      <c r="U25" s="276"/>
      <c r="V25" s="276"/>
      <c r="W25" s="276"/>
      <c r="X25" s="279"/>
      <c r="Y25" s="276"/>
      <c r="Z25" s="276"/>
      <c r="AA25" s="276"/>
      <c r="AB25" s="197"/>
      <c r="AC25" s="454"/>
    </row>
    <row r="26" spans="1:29" s="7" customFormat="1" ht="33.75" customHeight="1">
      <c r="A26" s="455">
        <v>9</v>
      </c>
      <c r="B26" s="481"/>
      <c r="C26" s="13"/>
      <c r="D26" s="273" t="s">
        <v>177</v>
      </c>
      <c r="E26" s="216"/>
      <c r="F26" s="217"/>
      <c r="G26" s="217"/>
      <c r="H26" s="218"/>
      <c r="I26" s="218"/>
      <c r="J26" s="218"/>
      <c r="K26" s="218"/>
      <c r="L26" s="218"/>
      <c r="M26" s="218"/>
      <c r="N26" s="218"/>
      <c r="O26" s="218"/>
      <c r="P26" s="218"/>
      <c r="Q26" s="218"/>
      <c r="R26" s="218"/>
      <c r="S26" s="218"/>
      <c r="T26" s="218"/>
      <c r="U26" s="218"/>
      <c r="V26" s="218"/>
      <c r="W26" s="218"/>
      <c r="X26" s="221"/>
      <c r="Y26" s="218"/>
      <c r="Z26" s="218"/>
      <c r="AA26" s="218"/>
      <c r="AB26" s="196"/>
      <c r="AC26" s="453">
        <f t="shared" ref="AC26" si="5">SUM($E27:$G27)-SUM($I27:$AA27)+$AC24</f>
        <v>0</v>
      </c>
    </row>
    <row r="27" spans="1:29" s="7" customFormat="1" ht="33.75" customHeight="1" thickBot="1">
      <c r="A27" s="456"/>
      <c r="B27" s="482"/>
      <c r="C27" s="15"/>
      <c r="D27" s="274" t="s">
        <v>105</v>
      </c>
      <c r="E27" s="277"/>
      <c r="F27" s="278"/>
      <c r="G27" s="278"/>
      <c r="H27" s="276"/>
      <c r="I27" s="276"/>
      <c r="J27" s="276"/>
      <c r="K27" s="276"/>
      <c r="L27" s="276"/>
      <c r="M27" s="276"/>
      <c r="N27" s="276"/>
      <c r="O27" s="276"/>
      <c r="P27" s="276"/>
      <c r="Q27" s="276"/>
      <c r="R27" s="276"/>
      <c r="S27" s="276"/>
      <c r="T27" s="276"/>
      <c r="U27" s="276"/>
      <c r="V27" s="276"/>
      <c r="W27" s="276"/>
      <c r="X27" s="279"/>
      <c r="Y27" s="276"/>
      <c r="Z27" s="276"/>
      <c r="AA27" s="276"/>
      <c r="AB27" s="197"/>
      <c r="AC27" s="454"/>
    </row>
    <row r="28" spans="1:29" s="7" customFormat="1" ht="33.75" customHeight="1">
      <c r="A28" s="464">
        <v>10</v>
      </c>
      <c r="B28" s="481"/>
      <c r="C28" s="13"/>
      <c r="D28" s="273" t="s">
        <v>177</v>
      </c>
      <c r="E28" s="216"/>
      <c r="F28" s="217"/>
      <c r="G28" s="217"/>
      <c r="H28" s="218"/>
      <c r="I28" s="218"/>
      <c r="J28" s="218"/>
      <c r="K28" s="218"/>
      <c r="L28" s="218"/>
      <c r="M28" s="218"/>
      <c r="N28" s="218"/>
      <c r="O28" s="218"/>
      <c r="P28" s="218"/>
      <c r="Q28" s="218"/>
      <c r="R28" s="218"/>
      <c r="S28" s="218"/>
      <c r="T28" s="218"/>
      <c r="U28" s="218"/>
      <c r="V28" s="218"/>
      <c r="W28" s="218"/>
      <c r="X28" s="221"/>
      <c r="Y28" s="218"/>
      <c r="Z28" s="218"/>
      <c r="AA28" s="218"/>
      <c r="AB28" s="196"/>
      <c r="AC28" s="453">
        <f t="shared" ref="AC28" si="6">SUM($E29:$G29)-SUM($I29:$AA29)+$AC26</f>
        <v>0</v>
      </c>
    </row>
    <row r="29" spans="1:29" s="7" customFormat="1" ht="33.75" customHeight="1" thickBot="1">
      <c r="A29" s="450"/>
      <c r="B29" s="482"/>
      <c r="C29" s="15"/>
      <c r="D29" s="274" t="s">
        <v>105</v>
      </c>
      <c r="E29" s="277"/>
      <c r="F29" s="278"/>
      <c r="G29" s="278"/>
      <c r="H29" s="276"/>
      <c r="I29" s="276"/>
      <c r="J29" s="276"/>
      <c r="K29" s="276"/>
      <c r="L29" s="276"/>
      <c r="M29" s="276"/>
      <c r="N29" s="276"/>
      <c r="O29" s="276"/>
      <c r="P29" s="276"/>
      <c r="Q29" s="276"/>
      <c r="R29" s="276"/>
      <c r="S29" s="276"/>
      <c r="T29" s="276"/>
      <c r="U29" s="276"/>
      <c r="V29" s="276"/>
      <c r="W29" s="276"/>
      <c r="X29" s="279"/>
      <c r="Y29" s="276"/>
      <c r="Z29" s="276"/>
      <c r="AA29" s="276"/>
      <c r="AB29" s="197"/>
      <c r="AC29" s="454"/>
    </row>
    <row r="30" spans="1:29" s="7" customFormat="1" ht="33.75" customHeight="1">
      <c r="A30" s="455">
        <v>11</v>
      </c>
      <c r="B30" s="481"/>
      <c r="C30" s="13"/>
      <c r="D30" s="273" t="s">
        <v>177</v>
      </c>
      <c r="E30" s="216"/>
      <c r="F30" s="217"/>
      <c r="G30" s="217"/>
      <c r="H30" s="218"/>
      <c r="I30" s="218"/>
      <c r="J30" s="218"/>
      <c r="K30" s="218"/>
      <c r="L30" s="218"/>
      <c r="M30" s="218"/>
      <c r="N30" s="218"/>
      <c r="O30" s="218"/>
      <c r="P30" s="218"/>
      <c r="Q30" s="218"/>
      <c r="R30" s="218"/>
      <c r="S30" s="218"/>
      <c r="T30" s="218"/>
      <c r="U30" s="218"/>
      <c r="V30" s="218"/>
      <c r="W30" s="218"/>
      <c r="X30" s="221"/>
      <c r="Y30" s="218"/>
      <c r="Z30" s="218"/>
      <c r="AA30" s="218"/>
      <c r="AB30" s="196"/>
      <c r="AC30" s="453">
        <f t="shared" ref="AC30" si="7">SUM($E31:$G31)-SUM($I31:$AA31)+$AC28</f>
        <v>0</v>
      </c>
    </row>
    <row r="31" spans="1:29" s="7" customFormat="1" ht="33.75" customHeight="1" thickBot="1">
      <c r="A31" s="456"/>
      <c r="B31" s="482"/>
      <c r="C31" s="15"/>
      <c r="D31" s="274" t="s">
        <v>105</v>
      </c>
      <c r="E31" s="277"/>
      <c r="F31" s="278"/>
      <c r="G31" s="278"/>
      <c r="H31" s="276"/>
      <c r="I31" s="276"/>
      <c r="J31" s="276"/>
      <c r="K31" s="276"/>
      <c r="L31" s="276"/>
      <c r="M31" s="276"/>
      <c r="N31" s="276"/>
      <c r="O31" s="276"/>
      <c r="P31" s="276"/>
      <c r="Q31" s="276"/>
      <c r="R31" s="276"/>
      <c r="S31" s="276"/>
      <c r="T31" s="276"/>
      <c r="U31" s="276"/>
      <c r="V31" s="276"/>
      <c r="W31" s="276"/>
      <c r="X31" s="279"/>
      <c r="Y31" s="276"/>
      <c r="Z31" s="276"/>
      <c r="AA31" s="276"/>
      <c r="AB31" s="197"/>
      <c r="AC31" s="454"/>
    </row>
    <row r="32" spans="1:29" s="7" customFormat="1" ht="33.75" customHeight="1">
      <c r="A32" s="464">
        <v>12</v>
      </c>
      <c r="B32" s="481"/>
      <c r="C32" s="13"/>
      <c r="D32" s="273" t="s">
        <v>177</v>
      </c>
      <c r="E32" s="216"/>
      <c r="F32" s="217"/>
      <c r="G32" s="217"/>
      <c r="H32" s="218"/>
      <c r="I32" s="218"/>
      <c r="J32" s="218"/>
      <c r="K32" s="218"/>
      <c r="L32" s="218"/>
      <c r="M32" s="218"/>
      <c r="N32" s="218"/>
      <c r="O32" s="218"/>
      <c r="P32" s="218"/>
      <c r="Q32" s="218"/>
      <c r="R32" s="218"/>
      <c r="S32" s="218"/>
      <c r="T32" s="218"/>
      <c r="U32" s="218"/>
      <c r="V32" s="218"/>
      <c r="W32" s="218"/>
      <c r="X32" s="221"/>
      <c r="Y32" s="218"/>
      <c r="Z32" s="218"/>
      <c r="AA32" s="218"/>
      <c r="AB32" s="196"/>
      <c r="AC32" s="453">
        <f t="shared" ref="AC32" si="8">SUM($E33:$G33)-SUM($I33:$AA33)+$AC30</f>
        <v>0</v>
      </c>
    </row>
    <row r="33" spans="1:29" s="7" customFormat="1" ht="33.75" customHeight="1" thickBot="1">
      <c r="A33" s="450"/>
      <c r="B33" s="482"/>
      <c r="C33" s="15"/>
      <c r="D33" s="274" t="s">
        <v>105</v>
      </c>
      <c r="E33" s="277"/>
      <c r="F33" s="278"/>
      <c r="G33" s="278"/>
      <c r="H33" s="276"/>
      <c r="I33" s="276"/>
      <c r="J33" s="276"/>
      <c r="K33" s="276"/>
      <c r="L33" s="276"/>
      <c r="M33" s="276"/>
      <c r="N33" s="276"/>
      <c r="O33" s="276"/>
      <c r="P33" s="276"/>
      <c r="Q33" s="276"/>
      <c r="R33" s="276"/>
      <c r="S33" s="276"/>
      <c r="T33" s="276"/>
      <c r="U33" s="276"/>
      <c r="V33" s="276"/>
      <c r="W33" s="276"/>
      <c r="X33" s="279"/>
      <c r="Y33" s="276"/>
      <c r="Z33" s="276"/>
      <c r="AA33" s="276"/>
      <c r="AB33" s="197"/>
      <c r="AC33" s="454"/>
    </row>
    <row r="34" spans="1:29" s="7" customFormat="1" ht="33.75" customHeight="1">
      <c r="A34" s="455">
        <v>13</v>
      </c>
      <c r="B34" s="481"/>
      <c r="C34" s="13"/>
      <c r="D34" s="273" t="s">
        <v>177</v>
      </c>
      <c r="E34" s="216"/>
      <c r="F34" s="217"/>
      <c r="G34" s="217"/>
      <c r="H34" s="218"/>
      <c r="I34" s="218"/>
      <c r="J34" s="218"/>
      <c r="K34" s="218"/>
      <c r="L34" s="218"/>
      <c r="M34" s="218"/>
      <c r="N34" s="218"/>
      <c r="O34" s="218"/>
      <c r="P34" s="218"/>
      <c r="Q34" s="218"/>
      <c r="R34" s="218"/>
      <c r="S34" s="218"/>
      <c r="T34" s="218"/>
      <c r="U34" s="218"/>
      <c r="V34" s="218"/>
      <c r="W34" s="218"/>
      <c r="X34" s="221"/>
      <c r="Y34" s="218"/>
      <c r="Z34" s="218"/>
      <c r="AA34" s="218"/>
      <c r="AB34" s="196"/>
      <c r="AC34" s="453">
        <f>SUM($E35:$G35)-SUM($I35:$AA35)+$AC32</f>
        <v>0</v>
      </c>
    </row>
    <row r="35" spans="1:29" s="7" customFormat="1" ht="33.75" customHeight="1" thickBot="1">
      <c r="A35" s="456"/>
      <c r="B35" s="482"/>
      <c r="C35" s="15"/>
      <c r="D35" s="274" t="s">
        <v>105</v>
      </c>
      <c r="E35" s="277"/>
      <c r="F35" s="278"/>
      <c r="G35" s="278"/>
      <c r="H35" s="276"/>
      <c r="I35" s="276"/>
      <c r="J35" s="276"/>
      <c r="K35" s="276"/>
      <c r="L35" s="276"/>
      <c r="M35" s="276"/>
      <c r="N35" s="276"/>
      <c r="O35" s="276"/>
      <c r="P35" s="276"/>
      <c r="Q35" s="276"/>
      <c r="R35" s="276"/>
      <c r="S35" s="276"/>
      <c r="T35" s="276"/>
      <c r="U35" s="276"/>
      <c r="V35" s="276"/>
      <c r="W35" s="276"/>
      <c r="X35" s="279"/>
      <c r="Y35" s="276"/>
      <c r="Z35" s="276"/>
      <c r="AA35" s="276"/>
      <c r="AB35" s="197"/>
      <c r="AC35" s="454"/>
    </row>
    <row r="36" spans="1:29" s="7" customFormat="1" ht="33.75" customHeight="1">
      <c r="A36" s="464">
        <v>14</v>
      </c>
      <c r="B36" s="481"/>
      <c r="C36" s="13"/>
      <c r="D36" s="273" t="s">
        <v>177</v>
      </c>
      <c r="E36" s="216"/>
      <c r="F36" s="217"/>
      <c r="G36" s="217"/>
      <c r="H36" s="218"/>
      <c r="I36" s="218"/>
      <c r="J36" s="218"/>
      <c r="K36" s="218"/>
      <c r="L36" s="218"/>
      <c r="M36" s="218"/>
      <c r="N36" s="218"/>
      <c r="O36" s="218"/>
      <c r="P36" s="218"/>
      <c r="Q36" s="218"/>
      <c r="R36" s="218"/>
      <c r="S36" s="218"/>
      <c r="T36" s="218"/>
      <c r="U36" s="218"/>
      <c r="V36" s="218"/>
      <c r="W36" s="218"/>
      <c r="X36" s="221"/>
      <c r="Y36" s="218"/>
      <c r="Z36" s="218"/>
      <c r="AA36" s="218"/>
      <c r="AB36" s="196"/>
      <c r="AC36" s="453">
        <f t="shared" ref="AC36" si="9">SUM($E37:$G37)-SUM($I37:$AA37)+$AC34</f>
        <v>0</v>
      </c>
    </row>
    <row r="37" spans="1:29" s="7" customFormat="1" ht="33.75" customHeight="1" thickBot="1">
      <c r="A37" s="449"/>
      <c r="B37" s="483"/>
      <c r="C37" s="15"/>
      <c r="D37" s="199" t="s">
        <v>105</v>
      </c>
      <c r="E37" s="280"/>
      <c r="F37" s="281"/>
      <c r="G37" s="281"/>
      <c r="H37" s="282"/>
      <c r="I37" s="282"/>
      <c r="J37" s="282"/>
      <c r="K37" s="282"/>
      <c r="L37" s="282"/>
      <c r="M37" s="282"/>
      <c r="N37" s="282"/>
      <c r="O37" s="282"/>
      <c r="P37" s="282"/>
      <c r="Q37" s="282"/>
      <c r="R37" s="282"/>
      <c r="S37" s="282"/>
      <c r="T37" s="282"/>
      <c r="U37" s="282"/>
      <c r="V37" s="282"/>
      <c r="W37" s="282"/>
      <c r="X37" s="283"/>
      <c r="Y37" s="282"/>
      <c r="Z37" s="282"/>
      <c r="AA37" s="282"/>
      <c r="AB37" s="194"/>
      <c r="AC37" s="465"/>
    </row>
    <row r="38" spans="1:29" s="7" customFormat="1" ht="33.75" customHeight="1">
      <c r="A38" s="455">
        <v>15</v>
      </c>
      <c r="B38" s="479"/>
      <c r="C38" s="13"/>
      <c r="D38" s="273" t="s">
        <v>177</v>
      </c>
      <c r="E38" s="216"/>
      <c r="F38" s="217"/>
      <c r="G38" s="217"/>
      <c r="H38" s="218"/>
      <c r="I38" s="218"/>
      <c r="J38" s="218"/>
      <c r="K38" s="218"/>
      <c r="L38" s="218"/>
      <c r="M38" s="218"/>
      <c r="N38" s="218"/>
      <c r="O38" s="218"/>
      <c r="P38" s="218"/>
      <c r="Q38" s="218"/>
      <c r="R38" s="218"/>
      <c r="S38" s="218"/>
      <c r="T38" s="218"/>
      <c r="U38" s="218"/>
      <c r="V38" s="218"/>
      <c r="W38" s="218"/>
      <c r="X38" s="221"/>
      <c r="Y38" s="218"/>
      <c r="Z38" s="218"/>
      <c r="AA38" s="218"/>
      <c r="AB38" s="190"/>
      <c r="AC38" s="453">
        <f t="shared" ref="AC38" si="10">SUM($E39:$G39)-SUM($I39:$AA39)+$AC36</f>
        <v>0</v>
      </c>
    </row>
    <row r="39" spans="1:29" s="7" customFormat="1" ht="33.75" customHeight="1" thickBot="1">
      <c r="A39" s="459"/>
      <c r="B39" s="480"/>
      <c r="C39" s="15"/>
      <c r="D39" s="274" t="s">
        <v>105</v>
      </c>
      <c r="E39" s="277"/>
      <c r="F39" s="278"/>
      <c r="G39" s="278"/>
      <c r="H39" s="276"/>
      <c r="I39" s="276"/>
      <c r="J39" s="276"/>
      <c r="K39" s="276"/>
      <c r="L39" s="276"/>
      <c r="M39" s="276"/>
      <c r="N39" s="276"/>
      <c r="O39" s="276"/>
      <c r="P39" s="276"/>
      <c r="Q39" s="276"/>
      <c r="R39" s="276"/>
      <c r="S39" s="276"/>
      <c r="T39" s="276"/>
      <c r="U39" s="276"/>
      <c r="V39" s="276"/>
      <c r="W39" s="276"/>
      <c r="X39" s="279"/>
      <c r="Y39" s="276"/>
      <c r="Z39" s="276"/>
      <c r="AA39" s="276"/>
      <c r="AB39" s="191"/>
      <c r="AC39" s="454"/>
    </row>
    <row r="40" spans="1:29" s="7" customFormat="1" ht="33.75" customHeight="1">
      <c r="A40" s="466">
        <v>16</v>
      </c>
      <c r="B40" s="479"/>
      <c r="C40" s="13"/>
      <c r="D40" s="273" t="s">
        <v>177</v>
      </c>
      <c r="E40" s="216"/>
      <c r="F40" s="217"/>
      <c r="G40" s="217"/>
      <c r="H40" s="218"/>
      <c r="I40" s="218"/>
      <c r="J40" s="218"/>
      <c r="K40" s="218"/>
      <c r="L40" s="218"/>
      <c r="M40" s="218"/>
      <c r="N40" s="218"/>
      <c r="O40" s="218"/>
      <c r="P40" s="218"/>
      <c r="Q40" s="218"/>
      <c r="R40" s="218"/>
      <c r="S40" s="218"/>
      <c r="T40" s="218"/>
      <c r="U40" s="218"/>
      <c r="V40" s="218"/>
      <c r="W40" s="218"/>
      <c r="X40" s="221"/>
      <c r="Y40" s="218"/>
      <c r="Z40" s="218"/>
      <c r="AA40" s="218"/>
      <c r="AB40" s="190"/>
      <c r="AC40" s="453">
        <f t="shared" ref="AC40" si="11">SUM($E41:$G41)-SUM($I41:$AA41)+$AC38</f>
        <v>0</v>
      </c>
    </row>
    <row r="41" spans="1:29" s="7" customFormat="1" ht="33.75" customHeight="1" thickBot="1">
      <c r="A41" s="467"/>
      <c r="B41" s="480"/>
      <c r="C41" s="15"/>
      <c r="D41" s="274" t="s">
        <v>105</v>
      </c>
      <c r="E41" s="277"/>
      <c r="F41" s="278"/>
      <c r="G41" s="278"/>
      <c r="H41" s="276"/>
      <c r="I41" s="276"/>
      <c r="J41" s="276"/>
      <c r="K41" s="276"/>
      <c r="L41" s="276"/>
      <c r="M41" s="276"/>
      <c r="N41" s="276"/>
      <c r="O41" s="276"/>
      <c r="P41" s="276"/>
      <c r="Q41" s="276"/>
      <c r="R41" s="276"/>
      <c r="S41" s="276"/>
      <c r="T41" s="276"/>
      <c r="U41" s="276"/>
      <c r="V41" s="276"/>
      <c r="W41" s="276"/>
      <c r="X41" s="279"/>
      <c r="Y41" s="276"/>
      <c r="Z41" s="276"/>
      <c r="AA41" s="276"/>
      <c r="AB41" s="191"/>
      <c r="AC41" s="454"/>
    </row>
    <row r="42" spans="1:29" s="7" customFormat="1" ht="33.75" customHeight="1">
      <c r="A42" s="468">
        <v>17</v>
      </c>
      <c r="B42" s="483"/>
      <c r="C42" s="13"/>
      <c r="D42" s="275" t="s">
        <v>177</v>
      </c>
      <c r="E42" s="222"/>
      <c r="F42" s="223"/>
      <c r="G42" s="223"/>
      <c r="H42" s="224"/>
      <c r="I42" s="224"/>
      <c r="J42" s="224"/>
      <c r="K42" s="224"/>
      <c r="L42" s="224"/>
      <c r="M42" s="224"/>
      <c r="N42" s="224"/>
      <c r="O42" s="224"/>
      <c r="P42" s="224"/>
      <c r="Q42" s="224"/>
      <c r="R42" s="224"/>
      <c r="S42" s="224"/>
      <c r="T42" s="224"/>
      <c r="U42" s="224"/>
      <c r="V42" s="224"/>
      <c r="W42" s="224"/>
      <c r="X42" s="224"/>
      <c r="Y42" s="224"/>
      <c r="Z42" s="224"/>
      <c r="AA42" s="224"/>
      <c r="AB42" s="195"/>
      <c r="AC42" s="453">
        <f t="shared" ref="AC42" si="12">SUM($E43:$G43)-SUM($I43:$AA43)+$AC40</f>
        <v>0</v>
      </c>
    </row>
    <row r="43" spans="1:29" s="7" customFormat="1" ht="33.75" customHeight="1" thickBot="1">
      <c r="A43" s="459"/>
      <c r="B43" s="482"/>
      <c r="C43" s="15"/>
      <c r="D43" s="274" t="s">
        <v>105</v>
      </c>
      <c r="E43" s="277"/>
      <c r="F43" s="278"/>
      <c r="G43" s="278"/>
      <c r="H43" s="276"/>
      <c r="I43" s="276"/>
      <c r="J43" s="276"/>
      <c r="K43" s="276"/>
      <c r="L43" s="276"/>
      <c r="M43" s="276"/>
      <c r="N43" s="276"/>
      <c r="O43" s="276"/>
      <c r="P43" s="276"/>
      <c r="Q43" s="276"/>
      <c r="R43" s="276"/>
      <c r="S43" s="276"/>
      <c r="T43" s="276"/>
      <c r="U43" s="276"/>
      <c r="V43" s="276"/>
      <c r="W43" s="276"/>
      <c r="X43" s="276"/>
      <c r="Y43" s="276"/>
      <c r="Z43" s="276"/>
      <c r="AA43" s="276"/>
      <c r="AB43" s="197"/>
      <c r="AC43" s="454"/>
    </row>
    <row r="44" spans="1:29" s="7" customFormat="1" ht="33.75" customHeight="1">
      <c r="A44" s="455">
        <v>18</v>
      </c>
      <c r="B44" s="481"/>
      <c r="C44" s="13"/>
      <c r="D44" s="273" t="s">
        <v>177</v>
      </c>
      <c r="E44" s="216"/>
      <c r="F44" s="217"/>
      <c r="G44" s="217"/>
      <c r="H44" s="218"/>
      <c r="I44" s="218"/>
      <c r="J44" s="218"/>
      <c r="K44" s="218"/>
      <c r="L44" s="218"/>
      <c r="M44" s="218"/>
      <c r="N44" s="218"/>
      <c r="O44" s="218"/>
      <c r="P44" s="218"/>
      <c r="Q44" s="218"/>
      <c r="R44" s="218"/>
      <c r="S44" s="218"/>
      <c r="T44" s="218"/>
      <c r="U44" s="218"/>
      <c r="V44" s="218"/>
      <c r="W44" s="218"/>
      <c r="X44" s="218"/>
      <c r="Y44" s="218"/>
      <c r="Z44" s="218"/>
      <c r="AA44" s="218"/>
      <c r="AB44" s="196"/>
      <c r="AC44" s="453">
        <f t="shared" ref="AC44" si="13">SUM($E45:$G45)-SUM($I45:$AA45)+$AC42</f>
        <v>0</v>
      </c>
    </row>
    <row r="45" spans="1:29" s="7" customFormat="1" ht="33.75" customHeight="1" thickBot="1">
      <c r="A45" s="459"/>
      <c r="B45" s="482"/>
      <c r="C45" s="15"/>
      <c r="D45" s="274" t="s">
        <v>105</v>
      </c>
      <c r="E45" s="277"/>
      <c r="F45" s="278"/>
      <c r="G45" s="278"/>
      <c r="H45" s="276"/>
      <c r="I45" s="276"/>
      <c r="J45" s="276"/>
      <c r="K45" s="276"/>
      <c r="L45" s="276"/>
      <c r="M45" s="276"/>
      <c r="N45" s="276"/>
      <c r="O45" s="276"/>
      <c r="P45" s="276"/>
      <c r="Q45" s="276"/>
      <c r="R45" s="276"/>
      <c r="S45" s="276"/>
      <c r="T45" s="276"/>
      <c r="U45" s="276"/>
      <c r="V45" s="276"/>
      <c r="W45" s="276"/>
      <c r="X45" s="276"/>
      <c r="Y45" s="276"/>
      <c r="Z45" s="276"/>
      <c r="AA45" s="276"/>
      <c r="AB45" s="197"/>
      <c r="AC45" s="454"/>
    </row>
    <row r="46" spans="1:29" s="7" customFormat="1" ht="33.75" customHeight="1">
      <c r="A46" s="455">
        <v>19</v>
      </c>
      <c r="B46" s="481"/>
      <c r="C46" s="13"/>
      <c r="D46" s="273" t="s">
        <v>177</v>
      </c>
      <c r="E46" s="216"/>
      <c r="F46" s="217"/>
      <c r="G46" s="217"/>
      <c r="H46" s="218"/>
      <c r="I46" s="218"/>
      <c r="J46" s="218"/>
      <c r="K46" s="218"/>
      <c r="L46" s="218"/>
      <c r="M46" s="218"/>
      <c r="N46" s="218"/>
      <c r="O46" s="218"/>
      <c r="P46" s="218"/>
      <c r="Q46" s="218"/>
      <c r="R46" s="218"/>
      <c r="S46" s="218"/>
      <c r="T46" s="218"/>
      <c r="U46" s="218"/>
      <c r="V46" s="218"/>
      <c r="W46" s="218"/>
      <c r="X46" s="218"/>
      <c r="Y46" s="218"/>
      <c r="Z46" s="218"/>
      <c r="AA46" s="218"/>
      <c r="AB46" s="196"/>
      <c r="AC46" s="453">
        <f t="shared" ref="AC46" si="14">SUM($E47:$G47)-SUM($I47:$AA47)+$AC44</f>
        <v>0</v>
      </c>
    </row>
    <row r="47" spans="1:29" s="7" customFormat="1" ht="33.75" customHeight="1" thickBot="1">
      <c r="A47" s="459"/>
      <c r="B47" s="482"/>
      <c r="C47" s="15"/>
      <c r="D47" s="274" t="s">
        <v>105</v>
      </c>
      <c r="E47" s="277"/>
      <c r="F47" s="278"/>
      <c r="G47" s="278"/>
      <c r="H47" s="276"/>
      <c r="I47" s="276"/>
      <c r="J47" s="276"/>
      <c r="K47" s="276"/>
      <c r="L47" s="276"/>
      <c r="M47" s="276"/>
      <c r="N47" s="276"/>
      <c r="O47" s="276"/>
      <c r="P47" s="276"/>
      <c r="Q47" s="276"/>
      <c r="R47" s="276"/>
      <c r="S47" s="276"/>
      <c r="T47" s="276"/>
      <c r="U47" s="276"/>
      <c r="V47" s="276"/>
      <c r="W47" s="276"/>
      <c r="X47" s="276"/>
      <c r="Y47" s="276"/>
      <c r="Z47" s="276"/>
      <c r="AA47" s="276"/>
      <c r="AB47" s="197"/>
      <c r="AC47" s="454"/>
    </row>
    <row r="48" spans="1:29" s="7" customFormat="1" ht="33.75" customHeight="1">
      <c r="A48" s="455">
        <v>20</v>
      </c>
      <c r="B48" s="481"/>
      <c r="C48" s="13"/>
      <c r="D48" s="273" t="s">
        <v>177</v>
      </c>
      <c r="E48" s="216"/>
      <c r="F48" s="217"/>
      <c r="G48" s="217"/>
      <c r="H48" s="218"/>
      <c r="I48" s="218"/>
      <c r="J48" s="218"/>
      <c r="K48" s="218"/>
      <c r="L48" s="218"/>
      <c r="M48" s="218"/>
      <c r="N48" s="218"/>
      <c r="O48" s="218"/>
      <c r="P48" s="218"/>
      <c r="Q48" s="218"/>
      <c r="R48" s="218"/>
      <c r="S48" s="218"/>
      <c r="T48" s="218"/>
      <c r="U48" s="218"/>
      <c r="V48" s="218"/>
      <c r="W48" s="218"/>
      <c r="X48" s="218"/>
      <c r="Y48" s="218"/>
      <c r="Z48" s="218"/>
      <c r="AA48" s="218"/>
      <c r="AB48" s="196"/>
      <c r="AC48" s="453">
        <f t="shared" ref="AC48" si="15">SUM($E49:$G49)-SUM($I49:$AA49)+$AC46</f>
        <v>0</v>
      </c>
    </row>
    <row r="49" spans="1:29" s="7" customFormat="1" ht="33.75" customHeight="1" thickBot="1">
      <c r="A49" s="459"/>
      <c r="B49" s="482"/>
      <c r="C49" s="15"/>
      <c r="D49" s="274" t="s">
        <v>105</v>
      </c>
      <c r="E49" s="277"/>
      <c r="F49" s="278"/>
      <c r="G49" s="278"/>
      <c r="H49" s="276"/>
      <c r="I49" s="276"/>
      <c r="J49" s="276"/>
      <c r="K49" s="276"/>
      <c r="L49" s="276"/>
      <c r="M49" s="276"/>
      <c r="N49" s="276"/>
      <c r="O49" s="276"/>
      <c r="P49" s="276"/>
      <c r="Q49" s="276"/>
      <c r="R49" s="276"/>
      <c r="S49" s="276"/>
      <c r="T49" s="276"/>
      <c r="U49" s="276"/>
      <c r="V49" s="276"/>
      <c r="W49" s="276"/>
      <c r="X49" s="276"/>
      <c r="Y49" s="276"/>
      <c r="Z49" s="276"/>
      <c r="AA49" s="276"/>
      <c r="AB49" s="197"/>
      <c r="AC49" s="454"/>
    </row>
    <row r="50" spans="1:29" s="7" customFormat="1" ht="33.75" customHeight="1">
      <c r="A50" s="455">
        <v>21</v>
      </c>
      <c r="B50" s="481"/>
      <c r="C50" s="13"/>
      <c r="D50" s="273" t="s">
        <v>177</v>
      </c>
      <c r="E50" s="216"/>
      <c r="F50" s="217"/>
      <c r="G50" s="217"/>
      <c r="H50" s="218"/>
      <c r="I50" s="218"/>
      <c r="J50" s="218"/>
      <c r="K50" s="218"/>
      <c r="L50" s="218"/>
      <c r="M50" s="218"/>
      <c r="N50" s="218"/>
      <c r="O50" s="218"/>
      <c r="P50" s="218"/>
      <c r="Q50" s="218"/>
      <c r="R50" s="218"/>
      <c r="S50" s="218"/>
      <c r="T50" s="218"/>
      <c r="U50" s="218"/>
      <c r="V50" s="218"/>
      <c r="W50" s="218"/>
      <c r="X50" s="218"/>
      <c r="Y50" s="218"/>
      <c r="Z50" s="218"/>
      <c r="AA50" s="218"/>
      <c r="AB50" s="196"/>
      <c r="AC50" s="453">
        <f t="shared" ref="AC50" si="16">SUM($E51:$G51)-SUM($I51:$AA51)+$AC48</f>
        <v>0</v>
      </c>
    </row>
    <row r="51" spans="1:29" s="7" customFormat="1" ht="33.75" customHeight="1" thickBot="1">
      <c r="A51" s="459"/>
      <c r="B51" s="482"/>
      <c r="C51" s="15"/>
      <c r="D51" s="274" t="s">
        <v>105</v>
      </c>
      <c r="E51" s="277"/>
      <c r="F51" s="278"/>
      <c r="G51" s="278"/>
      <c r="H51" s="276"/>
      <c r="I51" s="276"/>
      <c r="J51" s="276"/>
      <c r="K51" s="276"/>
      <c r="L51" s="276"/>
      <c r="M51" s="276"/>
      <c r="N51" s="276"/>
      <c r="O51" s="276"/>
      <c r="P51" s="276"/>
      <c r="Q51" s="276"/>
      <c r="R51" s="276"/>
      <c r="S51" s="276"/>
      <c r="T51" s="276"/>
      <c r="U51" s="276"/>
      <c r="V51" s="276"/>
      <c r="W51" s="276"/>
      <c r="X51" s="276"/>
      <c r="Y51" s="276"/>
      <c r="Z51" s="276"/>
      <c r="AA51" s="276"/>
      <c r="AB51" s="197"/>
      <c r="AC51" s="454"/>
    </row>
    <row r="52" spans="1:29" s="7" customFormat="1" ht="33.75" customHeight="1">
      <c r="A52" s="455">
        <v>22</v>
      </c>
      <c r="B52" s="481"/>
      <c r="C52" s="13"/>
      <c r="D52" s="273" t="s">
        <v>177</v>
      </c>
      <c r="E52" s="216"/>
      <c r="F52" s="217"/>
      <c r="G52" s="217"/>
      <c r="H52" s="218"/>
      <c r="I52" s="218"/>
      <c r="J52" s="218"/>
      <c r="K52" s="218"/>
      <c r="L52" s="218"/>
      <c r="M52" s="218"/>
      <c r="N52" s="218"/>
      <c r="O52" s="218"/>
      <c r="P52" s="218"/>
      <c r="Q52" s="218"/>
      <c r="R52" s="218"/>
      <c r="S52" s="218"/>
      <c r="T52" s="218"/>
      <c r="U52" s="218"/>
      <c r="V52" s="218"/>
      <c r="W52" s="218"/>
      <c r="X52" s="218"/>
      <c r="Y52" s="218"/>
      <c r="Z52" s="218"/>
      <c r="AA52" s="218"/>
      <c r="AB52" s="196"/>
      <c r="AC52" s="453">
        <f t="shared" ref="AC52" si="17">SUM($E53:$G53)-SUM($I53:$AA53)+$AC50</f>
        <v>0</v>
      </c>
    </row>
    <row r="53" spans="1:29" s="7" customFormat="1" ht="33.75" customHeight="1" thickBot="1">
      <c r="A53" s="459"/>
      <c r="B53" s="482"/>
      <c r="C53" s="15"/>
      <c r="D53" s="274" t="s">
        <v>105</v>
      </c>
      <c r="E53" s="277"/>
      <c r="F53" s="278"/>
      <c r="G53" s="278"/>
      <c r="H53" s="276"/>
      <c r="I53" s="276"/>
      <c r="J53" s="276"/>
      <c r="K53" s="276"/>
      <c r="L53" s="276"/>
      <c r="M53" s="276"/>
      <c r="N53" s="276"/>
      <c r="O53" s="276"/>
      <c r="P53" s="276"/>
      <c r="Q53" s="276"/>
      <c r="R53" s="276"/>
      <c r="S53" s="276"/>
      <c r="T53" s="276"/>
      <c r="U53" s="276"/>
      <c r="V53" s="276"/>
      <c r="W53" s="276"/>
      <c r="X53" s="276"/>
      <c r="Y53" s="276"/>
      <c r="Z53" s="276"/>
      <c r="AA53" s="276"/>
      <c r="AB53" s="197"/>
      <c r="AC53" s="454"/>
    </row>
    <row r="54" spans="1:29" s="7" customFormat="1" ht="33.75" customHeight="1">
      <c r="A54" s="455">
        <v>23</v>
      </c>
      <c r="B54" s="481"/>
      <c r="C54" s="13"/>
      <c r="D54" s="273" t="s">
        <v>177</v>
      </c>
      <c r="E54" s="216"/>
      <c r="F54" s="217"/>
      <c r="G54" s="217"/>
      <c r="H54" s="218"/>
      <c r="I54" s="218"/>
      <c r="J54" s="218"/>
      <c r="K54" s="218"/>
      <c r="L54" s="218"/>
      <c r="M54" s="218"/>
      <c r="N54" s="218"/>
      <c r="O54" s="218"/>
      <c r="P54" s="218"/>
      <c r="Q54" s="218"/>
      <c r="R54" s="218"/>
      <c r="S54" s="218"/>
      <c r="T54" s="218"/>
      <c r="U54" s="218"/>
      <c r="V54" s="218"/>
      <c r="W54" s="218"/>
      <c r="X54" s="218"/>
      <c r="Y54" s="218"/>
      <c r="Z54" s="218"/>
      <c r="AA54" s="218"/>
      <c r="AB54" s="196"/>
      <c r="AC54" s="453">
        <f t="shared" ref="AC54" si="18">SUM($E55:$G55)-SUM($I55:$AA55)+$AC52</f>
        <v>0</v>
      </c>
    </row>
    <row r="55" spans="1:29" s="7" customFormat="1" ht="33.75" customHeight="1" thickBot="1">
      <c r="A55" s="459"/>
      <c r="B55" s="482"/>
      <c r="C55" s="15"/>
      <c r="D55" s="274" t="s">
        <v>105</v>
      </c>
      <c r="E55" s="277"/>
      <c r="F55" s="278"/>
      <c r="G55" s="278"/>
      <c r="H55" s="276"/>
      <c r="I55" s="276"/>
      <c r="J55" s="276"/>
      <c r="K55" s="276"/>
      <c r="L55" s="276"/>
      <c r="M55" s="276"/>
      <c r="N55" s="276"/>
      <c r="O55" s="276"/>
      <c r="P55" s="276"/>
      <c r="Q55" s="276"/>
      <c r="R55" s="276"/>
      <c r="S55" s="276"/>
      <c r="T55" s="276"/>
      <c r="U55" s="276"/>
      <c r="V55" s="276"/>
      <c r="W55" s="276"/>
      <c r="X55" s="276"/>
      <c r="Y55" s="276"/>
      <c r="Z55" s="276"/>
      <c r="AA55" s="276"/>
      <c r="AB55" s="197"/>
      <c r="AC55" s="454"/>
    </row>
    <row r="56" spans="1:29" s="7" customFormat="1" ht="33.75" customHeight="1">
      <c r="A56" s="455">
        <v>24</v>
      </c>
      <c r="B56" s="481"/>
      <c r="C56" s="13"/>
      <c r="D56" s="273" t="s">
        <v>177</v>
      </c>
      <c r="E56" s="216"/>
      <c r="F56" s="217"/>
      <c r="G56" s="217"/>
      <c r="H56" s="218"/>
      <c r="I56" s="218"/>
      <c r="J56" s="218"/>
      <c r="K56" s="218"/>
      <c r="L56" s="218"/>
      <c r="M56" s="218"/>
      <c r="N56" s="218"/>
      <c r="O56" s="218"/>
      <c r="P56" s="218"/>
      <c r="Q56" s="218"/>
      <c r="R56" s="218"/>
      <c r="S56" s="218"/>
      <c r="T56" s="218"/>
      <c r="U56" s="218"/>
      <c r="V56" s="218"/>
      <c r="W56" s="218"/>
      <c r="X56" s="218"/>
      <c r="Y56" s="218"/>
      <c r="Z56" s="218"/>
      <c r="AA56" s="218"/>
      <c r="AB56" s="196"/>
      <c r="AC56" s="453">
        <f t="shared" ref="AC56" si="19">SUM($E57:$G57)-SUM($I57:$AA57)+$AC54</f>
        <v>0</v>
      </c>
    </row>
    <row r="57" spans="1:29" s="7" customFormat="1" ht="33.75" customHeight="1" thickBot="1">
      <c r="A57" s="459"/>
      <c r="B57" s="482"/>
      <c r="C57" s="15"/>
      <c r="D57" s="274" t="s">
        <v>105</v>
      </c>
      <c r="E57" s="277"/>
      <c r="F57" s="278"/>
      <c r="G57" s="278"/>
      <c r="H57" s="276"/>
      <c r="I57" s="276"/>
      <c r="J57" s="276"/>
      <c r="K57" s="276"/>
      <c r="L57" s="276"/>
      <c r="M57" s="276"/>
      <c r="N57" s="276"/>
      <c r="O57" s="276"/>
      <c r="P57" s="276"/>
      <c r="Q57" s="276"/>
      <c r="R57" s="276"/>
      <c r="S57" s="276"/>
      <c r="T57" s="276"/>
      <c r="U57" s="276"/>
      <c r="V57" s="276"/>
      <c r="W57" s="276"/>
      <c r="X57" s="276"/>
      <c r="Y57" s="276"/>
      <c r="Z57" s="276"/>
      <c r="AA57" s="276"/>
      <c r="AB57" s="197"/>
      <c r="AC57" s="454"/>
    </row>
    <row r="58" spans="1:29" s="7" customFormat="1" ht="33.75" customHeight="1">
      <c r="A58" s="455">
        <v>25</v>
      </c>
      <c r="B58" s="481"/>
      <c r="C58" s="13"/>
      <c r="D58" s="273" t="s">
        <v>177</v>
      </c>
      <c r="E58" s="216"/>
      <c r="F58" s="217"/>
      <c r="G58" s="217"/>
      <c r="H58" s="218"/>
      <c r="I58" s="218"/>
      <c r="J58" s="218"/>
      <c r="K58" s="218"/>
      <c r="L58" s="218"/>
      <c r="M58" s="218"/>
      <c r="N58" s="218"/>
      <c r="O58" s="218"/>
      <c r="P58" s="218"/>
      <c r="Q58" s="218"/>
      <c r="R58" s="218"/>
      <c r="S58" s="218"/>
      <c r="T58" s="218"/>
      <c r="U58" s="218"/>
      <c r="V58" s="218"/>
      <c r="W58" s="218"/>
      <c r="X58" s="218"/>
      <c r="Y58" s="218"/>
      <c r="Z58" s="218"/>
      <c r="AA58" s="218"/>
      <c r="AB58" s="196"/>
      <c r="AC58" s="453">
        <f t="shared" ref="AC58" si="20">SUM($E59:$G59)-SUM($I59:$AA59)+$AC56</f>
        <v>0</v>
      </c>
    </row>
    <row r="59" spans="1:29" s="7" customFormat="1" ht="33.75" customHeight="1" thickBot="1">
      <c r="A59" s="459"/>
      <c r="B59" s="482"/>
      <c r="C59" s="15"/>
      <c r="D59" s="274" t="s">
        <v>105</v>
      </c>
      <c r="E59" s="277"/>
      <c r="F59" s="278"/>
      <c r="G59" s="278"/>
      <c r="H59" s="276"/>
      <c r="I59" s="276"/>
      <c r="J59" s="276"/>
      <c r="K59" s="276"/>
      <c r="L59" s="276"/>
      <c r="M59" s="276"/>
      <c r="N59" s="276"/>
      <c r="O59" s="276"/>
      <c r="P59" s="276"/>
      <c r="Q59" s="276"/>
      <c r="R59" s="276"/>
      <c r="S59" s="276"/>
      <c r="T59" s="276"/>
      <c r="U59" s="276"/>
      <c r="V59" s="276"/>
      <c r="W59" s="276"/>
      <c r="X59" s="276"/>
      <c r="Y59" s="276"/>
      <c r="Z59" s="276"/>
      <c r="AA59" s="276"/>
      <c r="AB59" s="197"/>
      <c r="AC59" s="454"/>
    </row>
    <row r="60" spans="1:29" s="7" customFormat="1" ht="33.75" customHeight="1">
      <c r="A60" s="455">
        <v>26</v>
      </c>
      <c r="B60" s="481"/>
      <c r="C60" s="13"/>
      <c r="D60" s="273" t="s">
        <v>177</v>
      </c>
      <c r="E60" s="216"/>
      <c r="F60" s="217"/>
      <c r="G60" s="217"/>
      <c r="H60" s="218"/>
      <c r="I60" s="218"/>
      <c r="J60" s="218"/>
      <c r="K60" s="218"/>
      <c r="L60" s="218"/>
      <c r="M60" s="218"/>
      <c r="N60" s="218"/>
      <c r="O60" s="218"/>
      <c r="P60" s="218"/>
      <c r="Q60" s="218"/>
      <c r="R60" s="218"/>
      <c r="S60" s="218"/>
      <c r="T60" s="218"/>
      <c r="U60" s="218"/>
      <c r="V60" s="218"/>
      <c r="W60" s="218"/>
      <c r="X60" s="218"/>
      <c r="Y60" s="218"/>
      <c r="Z60" s="218"/>
      <c r="AA60" s="218"/>
      <c r="AB60" s="196"/>
      <c r="AC60" s="453">
        <f t="shared" ref="AC60" si="21">SUM($E61:$G61)-SUM($I61:$AA61)+$AC58</f>
        <v>0</v>
      </c>
    </row>
    <row r="61" spans="1:29" s="7" customFormat="1" ht="33.75" customHeight="1" thickBot="1">
      <c r="A61" s="459"/>
      <c r="B61" s="482"/>
      <c r="C61" s="15"/>
      <c r="D61" s="274" t="s">
        <v>105</v>
      </c>
      <c r="E61" s="277"/>
      <c r="F61" s="278"/>
      <c r="G61" s="278"/>
      <c r="H61" s="220"/>
      <c r="I61" s="276"/>
      <c r="J61" s="276"/>
      <c r="K61" s="276"/>
      <c r="L61" s="276"/>
      <c r="M61" s="276"/>
      <c r="N61" s="276"/>
      <c r="O61" s="276"/>
      <c r="P61" s="276"/>
      <c r="Q61" s="276"/>
      <c r="R61" s="276"/>
      <c r="S61" s="276"/>
      <c r="T61" s="276"/>
      <c r="U61" s="276"/>
      <c r="V61" s="276"/>
      <c r="W61" s="276"/>
      <c r="X61" s="276"/>
      <c r="Y61" s="276"/>
      <c r="Z61" s="276"/>
      <c r="AA61" s="276"/>
      <c r="AB61" s="197"/>
      <c r="AC61" s="454"/>
    </row>
    <row r="62" spans="1:29" s="7" customFormat="1" ht="33.75" customHeight="1">
      <c r="A62" s="455">
        <v>27</v>
      </c>
      <c r="B62" s="481"/>
      <c r="C62" s="13"/>
      <c r="D62" s="273" t="s">
        <v>177</v>
      </c>
      <c r="E62" s="216"/>
      <c r="F62" s="217"/>
      <c r="G62" s="217"/>
      <c r="H62" s="218"/>
      <c r="I62" s="218"/>
      <c r="J62" s="218"/>
      <c r="K62" s="218"/>
      <c r="L62" s="218"/>
      <c r="M62" s="218"/>
      <c r="N62" s="218"/>
      <c r="O62" s="218"/>
      <c r="P62" s="218"/>
      <c r="Q62" s="218"/>
      <c r="R62" s="218"/>
      <c r="S62" s="218"/>
      <c r="T62" s="218"/>
      <c r="U62" s="218"/>
      <c r="V62" s="218"/>
      <c r="W62" s="218"/>
      <c r="X62" s="218"/>
      <c r="Y62" s="218"/>
      <c r="Z62" s="218"/>
      <c r="AA62" s="218"/>
      <c r="AB62" s="196"/>
      <c r="AC62" s="453">
        <f t="shared" ref="AC62" si="22">SUM($E63:$G63)-SUM($I63:$AA63)+$AC60</f>
        <v>0</v>
      </c>
    </row>
    <row r="63" spans="1:29" s="7" customFormat="1" ht="33.75" customHeight="1" thickBot="1">
      <c r="A63" s="459"/>
      <c r="B63" s="482"/>
      <c r="C63" s="15"/>
      <c r="D63" s="274" t="s">
        <v>105</v>
      </c>
      <c r="E63" s="277"/>
      <c r="F63" s="278"/>
      <c r="G63" s="278"/>
      <c r="H63" s="276"/>
      <c r="I63" s="276"/>
      <c r="J63" s="276"/>
      <c r="K63" s="276"/>
      <c r="L63" s="276"/>
      <c r="M63" s="276"/>
      <c r="N63" s="276"/>
      <c r="O63" s="276"/>
      <c r="P63" s="276"/>
      <c r="Q63" s="276"/>
      <c r="R63" s="276"/>
      <c r="S63" s="276"/>
      <c r="T63" s="276"/>
      <c r="U63" s="276"/>
      <c r="V63" s="276"/>
      <c r="W63" s="276"/>
      <c r="X63" s="276"/>
      <c r="Y63" s="276"/>
      <c r="Z63" s="276"/>
      <c r="AA63" s="276"/>
      <c r="AB63" s="197"/>
      <c r="AC63" s="454"/>
    </row>
    <row r="64" spans="1:29" s="7" customFormat="1" ht="33.75" customHeight="1">
      <c r="A64" s="455">
        <v>28</v>
      </c>
      <c r="B64" s="481"/>
      <c r="C64" s="13"/>
      <c r="D64" s="273" t="s">
        <v>177</v>
      </c>
      <c r="E64" s="216"/>
      <c r="F64" s="217"/>
      <c r="G64" s="217"/>
      <c r="H64" s="218"/>
      <c r="I64" s="218"/>
      <c r="J64" s="218"/>
      <c r="K64" s="218"/>
      <c r="L64" s="218"/>
      <c r="M64" s="218"/>
      <c r="N64" s="218"/>
      <c r="O64" s="218"/>
      <c r="P64" s="218"/>
      <c r="Q64" s="218"/>
      <c r="R64" s="218"/>
      <c r="S64" s="218"/>
      <c r="T64" s="218"/>
      <c r="U64" s="218"/>
      <c r="V64" s="218"/>
      <c r="W64" s="218"/>
      <c r="X64" s="218"/>
      <c r="Y64" s="218"/>
      <c r="Z64" s="218"/>
      <c r="AA64" s="218"/>
      <c r="AB64" s="196"/>
      <c r="AC64" s="453">
        <f t="shared" ref="AC64" si="23">SUM($E65:$G65)-SUM($I65:$AA65)+$AC62</f>
        <v>0</v>
      </c>
    </row>
    <row r="65" spans="1:29" s="7" customFormat="1" ht="33.75" customHeight="1" thickBot="1">
      <c r="A65" s="459"/>
      <c r="B65" s="482"/>
      <c r="C65" s="15"/>
      <c r="D65" s="274" t="s">
        <v>105</v>
      </c>
      <c r="E65" s="277"/>
      <c r="F65" s="278"/>
      <c r="G65" s="278"/>
      <c r="H65" s="276"/>
      <c r="I65" s="276"/>
      <c r="J65" s="276"/>
      <c r="K65" s="276"/>
      <c r="L65" s="276"/>
      <c r="M65" s="276"/>
      <c r="N65" s="276"/>
      <c r="O65" s="276"/>
      <c r="P65" s="276"/>
      <c r="Q65" s="276"/>
      <c r="R65" s="276"/>
      <c r="S65" s="276"/>
      <c r="T65" s="276"/>
      <c r="U65" s="276"/>
      <c r="V65" s="276"/>
      <c r="W65" s="276"/>
      <c r="X65" s="276"/>
      <c r="Y65" s="276"/>
      <c r="Z65" s="276"/>
      <c r="AA65" s="276"/>
      <c r="AB65" s="197"/>
      <c r="AC65" s="454"/>
    </row>
    <row r="66" spans="1:29" s="7" customFormat="1" ht="33.75" customHeight="1">
      <c r="A66" s="455">
        <v>29</v>
      </c>
      <c r="B66" s="481"/>
      <c r="C66" s="13"/>
      <c r="D66" s="273" t="s">
        <v>177</v>
      </c>
      <c r="E66" s="216"/>
      <c r="F66" s="217"/>
      <c r="G66" s="217"/>
      <c r="H66" s="218"/>
      <c r="I66" s="218"/>
      <c r="J66" s="218"/>
      <c r="K66" s="218"/>
      <c r="L66" s="218"/>
      <c r="M66" s="218"/>
      <c r="N66" s="218"/>
      <c r="O66" s="218"/>
      <c r="P66" s="218"/>
      <c r="Q66" s="218"/>
      <c r="R66" s="218"/>
      <c r="S66" s="218"/>
      <c r="T66" s="218"/>
      <c r="U66" s="218"/>
      <c r="V66" s="218"/>
      <c r="W66" s="218"/>
      <c r="X66" s="218"/>
      <c r="Y66" s="218"/>
      <c r="Z66" s="218"/>
      <c r="AA66" s="218"/>
      <c r="AB66" s="196"/>
      <c r="AC66" s="453">
        <f t="shared" ref="AC66" si="24">SUM($E67:$G67)-SUM($I67:$AA67)+$AC64</f>
        <v>0</v>
      </c>
    </row>
    <row r="67" spans="1:29" s="7" customFormat="1" ht="33.75" customHeight="1" thickBot="1">
      <c r="A67" s="459"/>
      <c r="B67" s="482"/>
      <c r="C67" s="15"/>
      <c r="D67" s="274" t="s">
        <v>105</v>
      </c>
      <c r="E67" s="277"/>
      <c r="F67" s="278"/>
      <c r="G67" s="278"/>
      <c r="H67" s="276"/>
      <c r="I67" s="276"/>
      <c r="J67" s="276"/>
      <c r="K67" s="276"/>
      <c r="L67" s="276"/>
      <c r="M67" s="276"/>
      <c r="N67" s="276"/>
      <c r="O67" s="276"/>
      <c r="P67" s="276"/>
      <c r="Q67" s="276"/>
      <c r="R67" s="276"/>
      <c r="S67" s="276"/>
      <c r="T67" s="276"/>
      <c r="U67" s="276"/>
      <c r="V67" s="276"/>
      <c r="W67" s="276"/>
      <c r="X67" s="276"/>
      <c r="Y67" s="276"/>
      <c r="Z67" s="276"/>
      <c r="AA67" s="276"/>
      <c r="AB67" s="197"/>
      <c r="AC67" s="454"/>
    </row>
    <row r="68" spans="1:29" s="7" customFormat="1" ht="33.75" customHeight="1">
      <c r="A68" s="455">
        <v>30</v>
      </c>
      <c r="B68" s="481"/>
      <c r="C68" s="13"/>
      <c r="D68" s="273" t="s">
        <v>177</v>
      </c>
      <c r="E68" s="216"/>
      <c r="F68" s="217"/>
      <c r="G68" s="217"/>
      <c r="H68" s="218"/>
      <c r="I68" s="218"/>
      <c r="J68" s="218"/>
      <c r="K68" s="218"/>
      <c r="L68" s="218"/>
      <c r="M68" s="218"/>
      <c r="N68" s="218"/>
      <c r="O68" s="218"/>
      <c r="P68" s="218"/>
      <c r="Q68" s="218"/>
      <c r="R68" s="218"/>
      <c r="S68" s="218"/>
      <c r="T68" s="218"/>
      <c r="U68" s="218"/>
      <c r="V68" s="218"/>
      <c r="W68" s="218"/>
      <c r="X68" s="218"/>
      <c r="Y68" s="218"/>
      <c r="Z68" s="218"/>
      <c r="AA68" s="218"/>
      <c r="AB68" s="196"/>
      <c r="AC68" s="453">
        <f t="shared" ref="AC68" si="25">SUM($E69:$G69)-SUM($I69:$AA69)+$AC66</f>
        <v>0</v>
      </c>
    </row>
    <row r="69" spans="1:29" s="7" customFormat="1" ht="33.75" customHeight="1" thickBot="1">
      <c r="A69" s="459"/>
      <c r="B69" s="482"/>
      <c r="C69" s="15"/>
      <c r="D69" s="274" t="s">
        <v>105</v>
      </c>
      <c r="E69" s="277"/>
      <c r="F69" s="278"/>
      <c r="G69" s="278"/>
      <c r="H69" s="276"/>
      <c r="I69" s="276"/>
      <c r="J69" s="276"/>
      <c r="K69" s="276"/>
      <c r="L69" s="276"/>
      <c r="M69" s="276"/>
      <c r="N69" s="276"/>
      <c r="O69" s="276"/>
      <c r="P69" s="276"/>
      <c r="Q69" s="276"/>
      <c r="R69" s="276"/>
      <c r="S69" s="276"/>
      <c r="T69" s="276"/>
      <c r="U69" s="276"/>
      <c r="V69" s="276"/>
      <c r="W69" s="276"/>
      <c r="X69" s="276"/>
      <c r="Y69" s="276"/>
      <c r="Z69" s="276"/>
      <c r="AA69" s="276"/>
      <c r="AB69" s="197"/>
      <c r="AC69" s="454"/>
    </row>
    <row r="70" spans="1:29" s="7" customFormat="1" ht="33.75" customHeight="1">
      <c r="A70" s="455">
        <v>31</v>
      </c>
      <c r="B70" s="481"/>
      <c r="C70" s="13"/>
      <c r="D70" s="273" t="s">
        <v>177</v>
      </c>
      <c r="E70" s="216"/>
      <c r="F70" s="217"/>
      <c r="G70" s="217"/>
      <c r="H70" s="218"/>
      <c r="I70" s="218"/>
      <c r="J70" s="218"/>
      <c r="K70" s="218"/>
      <c r="L70" s="218"/>
      <c r="M70" s="218"/>
      <c r="N70" s="218"/>
      <c r="O70" s="218"/>
      <c r="P70" s="218"/>
      <c r="Q70" s="218"/>
      <c r="R70" s="218"/>
      <c r="S70" s="218"/>
      <c r="T70" s="218"/>
      <c r="U70" s="218"/>
      <c r="V70" s="218"/>
      <c r="W70" s="218"/>
      <c r="X70" s="218"/>
      <c r="Y70" s="218"/>
      <c r="Z70" s="218"/>
      <c r="AA70" s="218"/>
      <c r="AB70" s="196"/>
      <c r="AC70" s="453">
        <f t="shared" ref="AC70" si="26">SUM($E71:$G71)-SUM($I71:$AA71)+$AC68</f>
        <v>0</v>
      </c>
    </row>
    <row r="71" spans="1:29" s="7" customFormat="1" ht="33.75" customHeight="1" thickBot="1">
      <c r="A71" s="459"/>
      <c r="B71" s="482"/>
      <c r="C71" s="15"/>
      <c r="D71" s="274" t="s">
        <v>105</v>
      </c>
      <c r="E71" s="277"/>
      <c r="F71" s="278"/>
      <c r="G71" s="278"/>
      <c r="H71" s="276"/>
      <c r="I71" s="276"/>
      <c r="J71" s="276"/>
      <c r="K71" s="276"/>
      <c r="L71" s="276"/>
      <c r="M71" s="276"/>
      <c r="N71" s="276"/>
      <c r="O71" s="276"/>
      <c r="P71" s="276"/>
      <c r="Q71" s="276"/>
      <c r="R71" s="276"/>
      <c r="S71" s="276"/>
      <c r="T71" s="276"/>
      <c r="U71" s="276"/>
      <c r="V71" s="276"/>
      <c r="W71" s="276"/>
      <c r="X71" s="276"/>
      <c r="Y71" s="276"/>
      <c r="Z71" s="276"/>
      <c r="AA71" s="276"/>
      <c r="AB71" s="197"/>
      <c r="AC71" s="454"/>
    </row>
    <row r="72" spans="1:29" ht="46.5" customHeight="1">
      <c r="A72" s="469" t="s">
        <v>331</v>
      </c>
      <c r="B72" s="470"/>
      <c r="C72" s="470"/>
      <c r="D72" s="471"/>
      <c r="E72" s="192">
        <f>SUM(E$10:E$71)</f>
        <v>0</v>
      </c>
      <c r="F72" s="192">
        <f t="shared" ref="F72" si="27">SUM(F$10:F$71)</f>
        <v>0</v>
      </c>
      <c r="G72" s="192">
        <f>SUM(G$10:G$71)</f>
        <v>0</v>
      </c>
      <c r="H72" s="192">
        <f>SUMIF($D$10:$D$41,$D72,H$10:H$41)</f>
        <v>0</v>
      </c>
      <c r="I72" s="192">
        <f>SUM(I$10:I$71)</f>
        <v>0</v>
      </c>
      <c r="J72" s="192">
        <f t="shared" ref="J72:AA72" si="28">SUM(J$10:J$71)</f>
        <v>0</v>
      </c>
      <c r="K72" s="192">
        <f t="shared" si="28"/>
        <v>0</v>
      </c>
      <c r="L72" s="192">
        <f t="shared" si="28"/>
        <v>0</v>
      </c>
      <c r="M72" s="192">
        <f t="shared" si="28"/>
        <v>0</v>
      </c>
      <c r="N72" s="192">
        <f t="shared" si="28"/>
        <v>0</v>
      </c>
      <c r="O72" s="192">
        <f t="shared" si="28"/>
        <v>0</v>
      </c>
      <c r="P72" s="192">
        <f t="shared" si="28"/>
        <v>0</v>
      </c>
      <c r="Q72" s="192">
        <f t="shared" si="28"/>
        <v>0</v>
      </c>
      <c r="R72" s="192">
        <f t="shared" si="28"/>
        <v>0</v>
      </c>
      <c r="S72" s="192">
        <f t="shared" si="28"/>
        <v>0</v>
      </c>
      <c r="T72" s="192">
        <f t="shared" si="28"/>
        <v>0</v>
      </c>
      <c r="U72" s="192">
        <f t="shared" si="28"/>
        <v>0</v>
      </c>
      <c r="V72" s="192">
        <f t="shared" si="28"/>
        <v>0</v>
      </c>
      <c r="W72" s="192">
        <f t="shared" si="28"/>
        <v>0</v>
      </c>
      <c r="X72" s="192">
        <f t="shared" si="28"/>
        <v>0</v>
      </c>
      <c r="Y72" s="192">
        <f t="shared" si="28"/>
        <v>0</v>
      </c>
      <c r="Z72" s="192">
        <f t="shared" si="28"/>
        <v>0</v>
      </c>
      <c r="AA72" s="192">
        <f t="shared" si="28"/>
        <v>0</v>
      </c>
      <c r="AB72" s="197">
        <f>SUMIF($D$10:$D$41,$D72,AB$10:AB$41)</f>
        <v>0</v>
      </c>
      <c r="AC72" s="193"/>
    </row>
    <row r="73" spans="1:29" ht="33.75" customHeight="1">
      <c r="B73" s="43" t="s">
        <v>330</v>
      </c>
    </row>
  </sheetData>
  <sheetProtection sheet="1" objects="1" scenarios="1" selectLockedCells="1"/>
  <mergeCells count="136">
    <mergeCell ref="E5:G5"/>
    <mergeCell ref="I5:AA5"/>
    <mergeCell ref="E6:E7"/>
    <mergeCell ref="F6:F9"/>
    <mergeCell ref="G6:G7"/>
    <mergeCell ref="H6:H9"/>
    <mergeCell ref="A2:A9"/>
    <mergeCell ref="B2:B4"/>
    <mergeCell ref="C2:C4"/>
    <mergeCell ref="D2:G4"/>
    <mergeCell ref="H2:H4"/>
    <mergeCell ref="I2:AA4"/>
    <mergeCell ref="B6:B9"/>
    <mergeCell ref="C6:C9"/>
    <mergeCell ref="D6:D9"/>
    <mergeCell ref="J6:J9"/>
    <mergeCell ref="V6:V9"/>
    <mergeCell ref="K6:K9"/>
    <mergeCell ref="L6:L9"/>
    <mergeCell ref="M6:M9"/>
    <mergeCell ref="N6:N9"/>
    <mergeCell ref="O6:O9"/>
    <mergeCell ref="P6:P9"/>
    <mergeCell ref="R6:R9"/>
    <mergeCell ref="AB2:AB3"/>
    <mergeCell ref="AC2:AC3"/>
    <mergeCell ref="AB4:AB6"/>
    <mergeCell ref="AC4:AC6"/>
    <mergeCell ref="A12:A13"/>
    <mergeCell ref="B12:B13"/>
    <mergeCell ref="AC12:AC13"/>
    <mergeCell ref="A14:A15"/>
    <mergeCell ref="B14:B15"/>
    <mergeCell ref="AC14:AC15"/>
    <mergeCell ref="AB7:AB9"/>
    <mergeCell ref="AC7:AC9"/>
    <mergeCell ref="E8:E9"/>
    <mergeCell ref="G8:G9"/>
    <mergeCell ref="A10:A11"/>
    <mergeCell ref="B10:B11"/>
    <mergeCell ref="AC10:AC11"/>
    <mergeCell ref="W6:W9"/>
    <mergeCell ref="X6:X9"/>
    <mergeCell ref="Y6:Y9"/>
    <mergeCell ref="Z6:Z9"/>
    <mergeCell ref="I7:I8"/>
    <mergeCell ref="AA7:AA8"/>
    <mergeCell ref="Q6:Q9"/>
    <mergeCell ref="S6:S9"/>
    <mergeCell ref="T6:T9"/>
    <mergeCell ref="U6:U9"/>
    <mergeCell ref="A20:A21"/>
    <mergeCell ref="B20:B21"/>
    <mergeCell ref="AC20:AC21"/>
    <mergeCell ref="A22:A23"/>
    <mergeCell ref="B22:B23"/>
    <mergeCell ref="AC22:AC23"/>
    <mergeCell ref="A16:A17"/>
    <mergeCell ref="B16:B17"/>
    <mergeCell ref="AC16:AC17"/>
    <mergeCell ref="A18:A19"/>
    <mergeCell ref="B18:B19"/>
    <mergeCell ref="AC18:AC19"/>
    <mergeCell ref="A28:A29"/>
    <mergeCell ref="B28:B29"/>
    <mergeCell ref="AC28:AC29"/>
    <mergeCell ref="A30:A31"/>
    <mergeCell ref="B30:B31"/>
    <mergeCell ref="AC30:AC31"/>
    <mergeCell ref="A24:A25"/>
    <mergeCell ref="B24:B25"/>
    <mergeCell ref="AC24:AC25"/>
    <mergeCell ref="A26:A27"/>
    <mergeCell ref="B26:B27"/>
    <mergeCell ref="AC26:AC27"/>
    <mergeCell ref="A36:A37"/>
    <mergeCell ref="B36:B37"/>
    <mergeCell ref="AC36:AC37"/>
    <mergeCell ref="A38:A39"/>
    <mergeCell ref="B38:B39"/>
    <mergeCell ref="AC38:AC39"/>
    <mergeCell ref="A32:A33"/>
    <mergeCell ref="B32:B33"/>
    <mergeCell ref="AC32:AC33"/>
    <mergeCell ref="A34:A35"/>
    <mergeCell ref="B34:B35"/>
    <mergeCell ref="AC34:AC35"/>
    <mergeCell ref="A44:A45"/>
    <mergeCell ref="B44:B45"/>
    <mergeCell ref="AC44:AC45"/>
    <mergeCell ref="A46:A47"/>
    <mergeCell ref="B46:B47"/>
    <mergeCell ref="AC46:AC47"/>
    <mergeCell ref="A40:A41"/>
    <mergeCell ref="B40:B41"/>
    <mergeCell ref="AC40:AC41"/>
    <mergeCell ref="A42:A43"/>
    <mergeCell ref="B42:B43"/>
    <mergeCell ref="AC42:AC43"/>
    <mergeCell ref="A52:A53"/>
    <mergeCell ref="B52:B53"/>
    <mergeCell ref="AC52:AC53"/>
    <mergeCell ref="A54:A55"/>
    <mergeCell ref="B54:B55"/>
    <mergeCell ref="AC54:AC55"/>
    <mergeCell ref="A48:A49"/>
    <mergeCell ref="B48:B49"/>
    <mergeCell ref="AC48:AC49"/>
    <mergeCell ref="A50:A51"/>
    <mergeCell ref="B50:B51"/>
    <mergeCell ref="AC50:AC51"/>
    <mergeCell ref="A60:A61"/>
    <mergeCell ref="B60:B61"/>
    <mergeCell ref="AC60:AC61"/>
    <mergeCell ref="A62:A63"/>
    <mergeCell ref="B62:B63"/>
    <mergeCell ref="AC62:AC63"/>
    <mergeCell ref="A56:A57"/>
    <mergeCell ref="B56:B57"/>
    <mergeCell ref="AC56:AC57"/>
    <mergeCell ref="A58:A59"/>
    <mergeCell ref="B58:B59"/>
    <mergeCell ref="AC58:AC59"/>
    <mergeCell ref="A68:A69"/>
    <mergeCell ref="B68:B69"/>
    <mergeCell ref="AC68:AC69"/>
    <mergeCell ref="A70:A71"/>
    <mergeCell ref="B70:B71"/>
    <mergeCell ref="A72:D72"/>
    <mergeCell ref="A64:A65"/>
    <mergeCell ref="B64:B65"/>
    <mergeCell ref="AC64:AC65"/>
    <mergeCell ref="A66:A67"/>
    <mergeCell ref="B66:B67"/>
    <mergeCell ref="AC66:AC67"/>
    <mergeCell ref="AC70:AC71"/>
  </mergeCells>
  <phoneticPr fontId="1"/>
  <pageMargins left="0.47244094488188981" right="0.31496062992125984" top="0.59055118110236227" bottom="0.19685039370078741" header="0.31496062992125984" footer="0.31496062992125984"/>
  <pageSetup paperSize="9" scale="45" orientation="landscape" r:id="rId1"/>
  <rowBreaks count="1" manualBreakCount="1">
    <brk id="3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661BA-3310-4596-A1C6-688D7F946F61}">
  <dimension ref="A1:AC71"/>
  <sheetViews>
    <sheetView zoomScale="50" zoomScaleNormal="50" workbookViewId="0">
      <pane xSplit="4" ySplit="9" topLeftCell="E64" activePane="bottomRight" state="frozen"/>
      <selection activeCell="E10" sqref="E10:AA71"/>
      <selection pane="topRight" activeCell="E10" sqref="E10:AA71"/>
      <selection pane="bottomLeft" activeCell="E10" sqref="E10:AA71"/>
      <selection pane="bottomRight" activeCell="E11" sqref="E11:AA11"/>
    </sheetView>
  </sheetViews>
  <sheetFormatPr defaultRowHeight="33.75" customHeight="1"/>
  <cols>
    <col min="1" max="1" width="3.625" customWidth="1"/>
    <col min="2" max="2" width="34.375" customWidth="1"/>
    <col min="3" max="3" width="0.375" customWidth="1"/>
    <col min="4" max="4" width="4.625" customWidth="1"/>
    <col min="5" max="7" width="10" customWidth="1"/>
    <col min="8" max="8" width="0.25" customWidth="1"/>
    <col min="9" max="22" width="10" customWidth="1"/>
    <col min="23" max="24" width="10" style="17" customWidth="1"/>
    <col min="25" max="27" width="10" customWidth="1"/>
    <col min="28" max="28" width="0.25" customWidth="1"/>
    <col min="29" max="29" width="14" customWidth="1"/>
  </cols>
  <sheetData>
    <row r="1" spans="1:29" ht="26.25" customHeight="1" thickBot="1">
      <c r="B1" s="4"/>
    </row>
    <row r="2" spans="1:29" ht="15" customHeight="1">
      <c r="A2" s="377" t="s">
        <v>24</v>
      </c>
      <c r="B2" s="380" t="s">
        <v>336</v>
      </c>
      <c r="C2" s="383"/>
      <c r="D2" s="355" t="s">
        <v>189</v>
      </c>
      <c r="E2" s="356"/>
      <c r="F2" s="356"/>
      <c r="G2" s="356"/>
      <c r="H2" s="386"/>
      <c r="I2" s="355" t="s">
        <v>188</v>
      </c>
      <c r="J2" s="356"/>
      <c r="K2" s="356"/>
      <c r="L2" s="356"/>
      <c r="M2" s="356"/>
      <c r="N2" s="356"/>
      <c r="O2" s="356"/>
      <c r="P2" s="356"/>
      <c r="Q2" s="356"/>
      <c r="R2" s="356"/>
      <c r="S2" s="356"/>
      <c r="T2" s="356"/>
      <c r="U2" s="356"/>
      <c r="V2" s="356"/>
      <c r="W2" s="356"/>
      <c r="X2" s="356"/>
      <c r="Y2" s="356"/>
      <c r="Z2" s="356"/>
      <c r="AA2" s="356"/>
      <c r="AB2" s="424"/>
      <c r="AC2" s="445" t="s">
        <v>265</v>
      </c>
    </row>
    <row r="3" spans="1:29" ht="18.75" customHeight="1">
      <c r="A3" s="378"/>
      <c r="B3" s="381"/>
      <c r="C3" s="384"/>
      <c r="D3" s="358"/>
      <c r="E3" s="359"/>
      <c r="F3" s="359"/>
      <c r="G3" s="359"/>
      <c r="H3" s="387"/>
      <c r="I3" s="358"/>
      <c r="J3" s="359"/>
      <c r="K3" s="359"/>
      <c r="L3" s="359"/>
      <c r="M3" s="359"/>
      <c r="N3" s="359"/>
      <c r="O3" s="359"/>
      <c r="P3" s="359"/>
      <c r="Q3" s="359"/>
      <c r="R3" s="359"/>
      <c r="S3" s="359"/>
      <c r="T3" s="359"/>
      <c r="U3" s="359"/>
      <c r="V3" s="359"/>
      <c r="W3" s="359"/>
      <c r="X3" s="359"/>
      <c r="Y3" s="359"/>
      <c r="Z3" s="359"/>
      <c r="AA3" s="359"/>
      <c r="AB3" s="425"/>
      <c r="AC3" s="446"/>
    </row>
    <row r="4" spans="1:29" ht="11.25" customHeight="1">
      <c r="A4" s="378"/>
      <c r="B4" s="382"/>
      <c r="C4" s="385"/>
      <c r="D4" s="361"/>
      <c r="E4" s="362"/>
      <c r="F4" s="362"/>
      <c r="G4" s="362"/>
      <c r="H4" s="388"/>
      <c r="I4" s="361"/>
      <c r="J4" s="362"/>
      <c r="K4" s="362"/>
      <c r="L4" s="362"/>
      <c r="M4" s="362"/>
      <c r="N4" s="362"/>
      <c r="O4" s="362"/>
      <c r="P4" s="362"/>
      <c r="Q4" s="362"/>
      <c r="R4" s="362"/>
      <c r="S4" s="362"/>
      <c r="T4" s="362"/>
      <c r="U4" s="362"/>
      <c r="V4" s="362"/>
      <c r="W4" s="362"/>
      <c r="X4" s="362"/>
      <c r="Y4" s="362"/>
      <c r="Z4" s="362"/>
      <c r="AA4" s="362"/>
      <c r="AB4" s="434"/>
      <c r="AC4" s="447" t="s">
        <v>49</v>
      </c>
    </row>
    <row r="5" spans="1:29" ht="2.25" customHeight="1">
      <c r="A5" s="378"/>
      <c r="B5" s="38"/>
      <c r="C5" s="3"/>
      <c r="D5" s="204"/>
      <c r="E5" s="397"/>
      <c r="F5" s="398"/>
      <c r="G5" s="398"/>
      <c r="H5" s="3"/>
      <c r="I5" s="397"/>
      <c r="J5" s="398"/>
      <c r="K5" s="398"/>
      <c r="L5" s="398"/>
      <c r="M5" s="398"/>
      <c r="N5" s="398"/>
      <c r="O5" s="398"/>
      <c r="P5" s="398"/>
      <c r="Q5" s="398"/>
      <c r="R5" s="398"/>
      <c r="S5" s="398"/>
      <c r="T5" s="398"/>
      <c r="U5" s="398"/>
      <c r="V5" s="398"/>
      <c r="W5" s="398"/>
      <c r="X5" s="398"/>
      <c r="Y5" s="398"/>
      <c r="Z5" s="398"/>
      <c r="AA5" s="398"/>
      <c r="AB5" s="435"/>
      <c r="AC5" s="448"/>
    </row>
    <row r="6" spans="1:29" s="201" customFormat="1" ht="15" customHeight="1">
      <c r="A6" s="378"/>
      <c r="B6" s="389" t="s">
        <v>51</v>
      </c>
      <c r="C6" s="391"/>
      <c r="D6" s="391"/>
      <c r="E6" s="391" t="s">
        <v>26</v>
      </c>
      <c r="F6" s="391" t="str">
        <f>雑収入</f>
        <v>雑収入</v>
      </c>
      <c r="G6" s="444" t="s">
        <v>27</v>
      </c>
      <c r="H6" s="391"/>
      <c r="I6" s="199" t="s">
        <v>28</v>
      </c>
      <c r="J6" s="391" t="str">
        <f>租税公課</f>
        <v>租税公課</v>
      </c>
      <c r="K6" s="391" t="s">
        <v>101</v>
      </c>
      <c r="L6" s="391" t="s">
        <v>6</v>
      </c>
      <c r="M6" s="364" t="str">
        <f>通信費</f>
        <v>通信費</v>
      </c>
      <c r="N6" s="391" t="s">
        <v>8</v>
      </c>
      <c r="O6" s="391" t="s">
        <v>9</v>
      </c>
      <c r="P6" s="391" t="s">
        <v>10</v>
      </c>
      <c r="Q6" s="364" t="str">
        <f>修繕費</f>
        <v>修繕費</v>
      </c>
      <c r="R6" s="391" t="str">
        <f>消耗品費</f>
        <v>消耗品費</v>
      </c>
      <c r="S6" s="391" t="s">
        <v>97</v>
      </c>
      <c r="T6" s="391" t="str">
        <f>給料賃金</f>
        <v>給料賃金</v>
      </c>
      <c r="U6" s="391" t="str">
        <f>外注工賃</f>
        <v>外注工賃</v>
      </c>
      <c r="V6" s="391" t="s">
        <v>16</v>
      </c>
      <c r="W6" s="364" t="str">
        <f>車両費</f>
        <v>車両費</v>
      </c>
      <c r="X6" s="484" t="str">
        <f>空欄1</f>
        <v>空欄1</v>
      </c>
      <c r="Y6" s="391" t="str">
        <f>空欄2</f>
        <v>空欄2</v>
      </c>
      <c r="Z6" s="391" t="str">
        <f>雑費</f>
        <v>雑費</v>
      </c>
      <c r="AA6" s="200" t="s">
        <v>143</v>
      </c>
      <c r="AB6" s="425"/>
      <c r="AC6" s="446"/>
    </row>
    <row r="7" spans="1:29" s="201" customFormat="1" ht="7.5" customHeight="1">
      <c r="A7" s="378"/>
      <c r="B7" s="387"/>
      <c r="C7" s="392"/>
      <c r="D7" s="392"/>
      <c r="E7" s="392"/>
      <c r="F7" s="392"/>
      <c r="G7" s="426"/>
      <c r="H7" s="392"/>
      <c r="I7" s="366" t="s">
        <v>38</v>
      </c>
      <c r="J7" s="392"/>
      <c r="K7" s="392"/>
      <c r="L7" s="392"/>
      <c r="M7" s="366"/>
      <c r="N7" s="392"/>
      <c r="O7" s="392"/>
      <c r="P7" s="392"/>
      <c r="Q7" s="366"/>
      <c r="R7" s="392"/>
      <c r="S7" s="392"/>
      <c r="T7" s="392"/>
      <c r="U7" s="392"/>
      <c r="V7" s="392"/>
      <c r="W7" s="366"/>
      <c r="X7" s="485"/>
      <c r="Y7" s="392"/>
      <c r="Z7" s="392"/>
      <c r="AA7" s="426" t="s">
        <v>98</v>
      </c>
      <c r="AB7" s="391"/>
      <c r="AC7" s="489">
        <f>繰越・5月</f>
        <v>0</v>
      </c>
    </row>
    <row r="8" spans="1:29" s="201" customFormat="1" ht="7.5" customHeight="1">
      <c r="A8" s="378"/>
      <c r="B8" s="387"/>
      <c r="C8" s="392"/>
      <c r="D8" s="392"/>
      <c r="E8" s="392" t="s">
        <v>36</v>
      </c>
      <c r="F8" s="392"/>
      <c r="G8" s="426" t="s">
        <v>37</v>
      </c>
      <c r="H8" s="392"/>
      <c r="I8" s="366"/>
      <c r="J8" s="392"/>
      <c r="K8" s="392"/>
      <c r="L8" s="392"/>
      <c r="M8" s="366"/>
      <c r="N8" s="392"/>
      <c r="O8" s="392"/>
      <c r="P8" s="392"/>
      <c r="Q8" s="366"/>
      <c r="R8" s="392"/>
      <c r="S8" s="392"/>
      <c r="T8" s="392"/>
      <c r="U8" s="392"/>
      <c r="V8" s="392"/>
      <c r="W8" s="366"/>
      <c r="X8" s="485"/>
      <c r="Y8" s="392"/>
      <c r="Z8" s="392"/>
      <c r="AA8" s="426"/>
      <c r="AB8" s="392"/>
      <c r="AC8" s="490"/>
    </row>
    <row r="9" spans="1:29" s="201" customFormat="1" ht="15" customHeight="1" thickBot="1">
      <c r="A9" s="379"/>
      <c r="B9" s="390"/>
      <c r="C9" s="393"/>
      <c r="D9" s="393"/>
      <c r="E9" s="393"/>
      <c r="F9" s="393"/>
      <c r="G9" s="416"/>
      <c r="H9" s="393"/>
      <c r="I9" s="202" t="s">
        <v>50</v>
      </c>
      <c r="J9" s="393"/>
      <c r="K9" s="393"/>
      <c r="L9" s="393"/>
      <c r="M9" s="368"/>
      <c r="N9" s="393"/>
      <c r="O9" s="393"/>
      <c r="P9" s="393"/>
      <c r="Q9" s="368"/>
      <c r="R9" s="393"/>
      <c r="S9" s="393"/>
      <c r="T9" s="393"/>
      <c r="U9" s="393"/>
      <c r="V9" s="393"/>
      <c r="W9" s="368"/>
      <c r="X9" s="486"/>
      <c r="Y9" s="393"/>
      <c r="Z9" s="393"/>
      <c r="AA9" s="203" t="s">
        <v>231</v>
      </c>
      <c r="AB9" s="392"/>
      <c r="AC9" s="490"/>
    </row>
    <row r="10" spans="1:29" s="7" customFormat="1" ht="33.75" customHeight="1">
      <c r="A10" s="455">
        <v>1</v>
      </c>
      <c r="B10" s="481"/>
      <c r="C10" s="13"/>
      <c r="D10" s="273" t="s">
        <v>177</v>
      </c>
      <c r="E10" s="216"/>
      <c r="F10" s="217"/>
      <c r="G10" s="217"/>
      <c r="H10" s="218"/>
      <c r="I10" s="217"/>
      <c r="J10" s="218"/>
      <c r="K10" s="217"/>
      <c r="L10" s="218"/>
      <c r="M10" s="217"/>
      <c r="N10" s="218"/>
      <c r="O10" s="217"/>
      <c r="P10" s="218"/>
      <c r="Q10" s="217"/>
      <c r="R10" s="218"/>
      <c r="S10" s="217"/>
      <c r="T10" s="218"/>
      <c r="U10" s="217"/>
      <c r="V10" s="217"/>
      <c r="W10" s="217"/>
      <c r="X10" s="219"/>
      <c r="Y10" s="217"/>
      <c r="Z10" s="217"/>
      <c r="AA10" s="217"/>
      <c r="AB10" s="196"/>
      <c r="AC10" s="460">
        <f>SUM($E11:$G11)-SUM($I11:$AA11)+$AC$7</f>
        <v>0</v>
      </c>
    </row>
    <row r="11" spans="1:29" s="7" customFormat="1" ht="33.75" customHeight="1" thickBot="1">
      <c r="A11" s="459"/>
      <c r="B11" s="487"/>
      <c r="C11" s="15"/>
      <c r="D11" s="274" t="s">
        <v>105</v>
      </c>
      <c r="E11" s="277"/>
      <c r="F11" s="278"/>
      <c r="G11" s="278"/>
      <c r="H11" s="276"/>
      <c r="I11" s="278"/>
      <c r="J11" s="276"/>
      <c r="K11" s="278"/>
      <c r="L11" s="276"/>
      <c r="M11" s="278"/>
      <c r="N11" s="276"/>
      <c r="O11" s="278"/>
      <c r="P11" s="276"/>
      <c r="Q11" s="278"/>
      <c r="R11" s="276"/>
      <c r="S11" s="278"/>
      <c r="T11" s="276"/>
      <c r="U11" s="278"/>
      <c r="V11" s="278"/>
      <c r="W11" s="278"/>
      <c r="X11" s="284"/>
      <c r="Y11" s="278"/>
      <c r="Z11" s="278"/>
      <c r="AA11" s="278"/>
      <c r="AB11" s="197"/>
      <c r="AC11" s="454"/>
    </row>
    <row r="12" spans="1:29" s="7" customFormat="1" ht="33.75" customHeight="1">
      <c r="A12" s="449">
        <v>2</v>
      </c>
      <c r="B12" s="483"/>
      <c r="C12" s="13"/>
      <c r="D12" s="273" t="s">
        <v>177</v>
      </c>
      <c r="E12" s="216"/>
      <c r="F12" s="217"/>
      <c r="G12" s="217"/>
      <c r="H12" s="218"/>
      <c r="I12" s="218"/>
      <c r="J12" s="218"/>
      <c r="K12" s="218"/>
      <c r="L12" s="218"/>
      <c r="M12" s="218"/>
      <c r="N12" s="218"/>
      <c r="O12" s="218"/>
      <c r="P12" s="218"/>
      <c r="Q12" s="218"/>
      <c r="R12" s="218"/>
      <c r="S12" s="218"/>
      <c r="T12" s="218"/>
      <c r="U12" s="218"/>
      <c r="V12" s="218"/>
      <c r="W12" s="218"/>
      <c r="X12" s="221"/>
      <c r="Y12" s="218"/>
      <c r="Z12" s="218"/>
      <c r="AA12" s="218"/>
      <c r="AB12" s="196"/>
      <c r="AC12" s="453">
        <f>SUM($E13:$G13)-SUM($I13:$AA13)+$AC10</f>
        <v>0</v>
      </c>
    </row>
    <row r="13" spans="1:29" s="7" customFormat="1" ht="33.75" customHeight="1" thickBot="1">
      <c r="A13" s="450"/>
      <c r="B13" s="482"/>
      <c r="C13" s="15"/>
      <c r="D13" s="274" t="s">
        <v>105</v>
      </c>
      <c r="E13" s="277"/>
      <c r="F13" s="278"/>
      <c r="G13" s="278"/>
      <c r="H13" s="276"/>
      <c r="I13" s="276"/>
      <c r="J13" s="276"/>
      <c r="K13" s="276"/>
      <c r="L13" s="276"/>
      <c r="M13" s="276"/>
      <c r="N13" s="276"/>
      <c r="O13" s="276"/>
      <c r="P13" s="276"/>
      <c r="Q13" s="276"/>
      <c r="R13" s="276"/>
      <c r="S13" s="276"/>
      <c r="T13" s="276"/>
      <c r="U13" s="276"/>
      <c r="V13" s="276"/>
      <c r="W13" s="276"/>
      <c r="X13" s="279"/>
      <c r="Y13" s="276"/>
      <c r="Z13" s="276"/>
      <c r="AA13" s="276"/>
      <c r="AB13" s="197"/>
      <c r="AC13" s="454"/>
    </row>
    <row r="14" spans="1:29" s="7" customFormat="1" ht="33.75" customHeight="1">
      <c r="A14" s="455">
        <v>3</v>
      </c>
      <c r="B14" s="481"/>
      <c r="C14" s="13"/>
      <c r="D14" s="273" t="s">
        <v>177</v>
      </c>
      <c r="E14" s="216"/>
      <c r="F14" s="217"/>
      <c r="G14" s="217"/>
      <c r="H14" s="218"/>
      <c r="I14" s="218"/>
      <c r="J14" s="218"/>
      <c r="K14" s="218"/>
      <c r="L14" s="218"/>
      <c r="M14" s="218"/>
      <c r="N14" s="218"/>
      <c r="O14" s="218"/>
      <c r="P14" s="218"/>
      <c r="Q14" s="218"/>
      <c r="R14" s="218"/>
      <c r="S14" s="218"/>
      <c r="T14" s="218"/>
      <c r="U14" s="218"/>
      <c r="V14" s="218"/>
      <c r="W14" s="218"/>
      <c r="X14" s="221"/>
      <c r="Y14" s="218"/>
      <c r="Z14" s="218"/>
      <c r="AA14" s="218"/>
      <c r="AB14" s="196"/>
      <c r="AC14" s="453">
        <f>SUM($E15:$G15)-SUM($I15:$AA15)+$AC12</f>
        <v>0</v>
      </c>
    </row>
    <row r="15" spans="1:29" s="7" customFormat="1" ht="33.75" customHeight="1" thickBot="1">
      <c r="A15" s="456"/>
      <c r="B15" s="482"/>
      <c r="C15" s="15"/>
      <c r="D15" s="274" t="s">
        <v>105</v>
      </c>
      <c r="E15" s="277"/>
      <c r="F15" s="278"/>
      <c r="G15" s="278"/>
      <c r="H15" s="276"/>
      <c r="I15" s="276"/>
      <c r="J15" s="276"/>
      <c r="K15" s="276"/>
      <c r="L15" s="276"/>
      <c r="M15" s="276"/>
      <c r="N15" s="276"/>
      <c r="O15" s="276"/>
      <c r="P15" s="276"/>
      <c r="Q15" s="276"/>
      <c r="R15" s="276"/>
      <c r="S15" s="276"/>
      <c r="T15" s="276"/>
      <c r="U15" s="276"/>
      <c r="V15" s="276"/>
      <c r="W15" s="276"/>
      <c r="X15" s="279"/>
      <c r="Y15" s="276"/>
      <c r="Z15" s="276"/>
      <c r="AA15" s="276"/>
      <c r="AB15" s="197"/>
      <c r="AC15" s="454"/>
    </row>
    <row r="16" spans="1:29" s="7" customFormat="1" ht="33.75" customHeight="1">
      <c r="A16" s="464">
        <v>4</v>
      </c>
      <c r="B16" s="481"/>
      <c r="C16" s="13"/>
      <c r="D16" s="273" t="s">
        <v>177</v>
      </c>
      <c r="E16" s="216"/>
      <c r="F16" s="217"/>
      <c r="G16" s="217"/>
      <c r="H16" s="218"/>
      <c r="I16" s="218"/>
      <c r="J16" s="218"/>
      <c r="K16" s="218"/>
      <c r="L16" s="218"/>
      <c r="M16" s="218"/>
      <c r="N16" s="218"/>
      <c r="O16" s="218"/>
      <c r="P16" s="218"/>
      <c r="Q16" s="218"/>
      <c r="R16" s="218"/>
      <c r="S16" s="218"/>
      <c r="T16" s="218"/>
      <c r="U16" s="218"/>
      <c r="V16" s="218"/>
      <c r="W16" s="218"/>
      <c r="X16" s="221"/>
      <c r="Y16" s="218"/>
      <c r="Z16" s="218"/>
      <c r="AA16" s="218"/>
      <c r="AB16" s="196"/>
      <c r="AC16" s="453">
        <f t="shared" ref="AC16" si="0">SUM($E17:$G17)-SUM($I17:$AA17)+$AC14</f>
        <v>0</v>
      </c>
    </row>
    <row r="17" spans="1:29" s="7" customFormat="1" ht="33.75" customHeight="1" thickBot="1">
      <c r="A17" s="450"/>
      <c r="B17" s="482"/>
      <c r="C17" s="15"/>
      <c r="D17" s="274" t="s">
        <v>105</v>
      </c>
      <c r="E17" s="277"/>
      <c r="F17" s="278"/>
      <c r="G17" s="278"/>
      <c r="H17" s="276"/>
      <c r="I17" s="276"/>
      <c r="J17" s="276"/>
      <c r="K17" s="276"/>
      <c r="L17" s="276"/>
      <c r="M17" s="276"/>
      <c r="N17" s="276"/>
      <c r="O17" s="276"/>
      <c r="P17" s="276"/>
      <c r="Q17" s="276"/>
      <c r="R17" s="276"/>
      <c r="S17" s="276"/>
      <c r="T17" s="276"/>
      <c r="U17" s="276"/>
      <c r="V17" s="276"/>
      <c r="W17" s="276"/>
      <c r="X17" s="279"/>
      <c r="Y17" s="276"/>
      <c r="Z17" s="276"/>
      <c r="AA17" s="276"/>
      <c r="AB17" s="197"/>
      <c r="AC17" s="454"/>
    </row>
    <row r="18" spans="1:29" s="7" customFormat="1" ht="33.75" customHeight="1">
      <c r="A18" s="455">
        <v>5</v>
      </c>
      <c r="B18" s="481"/>
      <c r="C18" s="13"/>
      <c r="D18" s="273" t="s">
        <v>177</v>
      </c>
      <c r="E18" s="216"/>
      <c r="F18" s="217"/>
      <c r="G18" s="217"/>
      <c r="H18" s="218"/>
      <c r="I18" s="218"/>
      <c r="J18" s="218"/>
      <c r="K18" s="218"/>
      <c r="L18" s="218"/>
      <c r="M18" s="218"/>
      <c r="N18" s="218"/>
      <c r="O18" s="218"/>
      <c r="P18" s="218"/>
      <c r="Q18" s="218"/>
      <c r="R18" s="218"/>
      <c r="S18" s="218"/>
      <c r="T18" s="218"/>
      <c r="U18" s="218"/>
      <c r="V18" s="218"/>
      <c r="W18" s="218"/>
      <c r="X18" s="221"/>
      <c r="Y18" s="218"/>
      <c r="Z18" s="218"/>
      <c r="AA18" s="218"/>
      <c r="AB18" s="196"/>
      <c r="AC18" s="453">
        <f t="shared" ref="AC18" si="1">SUM($E19:$G19)-SUM($I19:$AA19)+$AC16</f>
        <v>0</v>
      </c>
    </row>
    <row r="19" spans="1:29" s="7" customFormat="1" ht="33.75" customHeight="1" thickBot="1">
      <c r="A19" s="456"/>
      <c r="B19" s="482"/>
      <c r="C19" s="15"/>
      <c r="D19" s="274" t="s">
        <v>105</v>
      </c>
      <c r="E19" s="277"/>
      <c r="F19" s="278"/>
      <c r="G19" s="278"/>
      <c r="H19" s="276"/>
      <c r="I19" s="276"/>
      <c r="J19" s="276"/>
      <c r="K19" s="276"/>
      <c r="L19" s="276"/>
      <c r="M19" s="276"/>
      <c r="N19" s="276"/>
      <c r="O19" s="276"/>
      <c r="P19" s="276"/>
      <c r="Q19" s="276"/>
      <c r="R19" s="276"/>
      <c r="S19" s="276"/>
      <c r="T19" s="276"/>
      <c r="U19" s="276"/>
      <c r="V19" s="276"/>
      <c r="W19" s="276"/>
      <c r="X19" s="279"/>
      <c r="Y19" s="276"/>
      <c r="Z19" s="276"/>
      <c r="AA19" s="276"/>
      <c r="AB19" s="197"/>
      <c r="AC19" s="454"/>
    </row>
    <row r="20" spans="1:29" s="7" customFormat="1" ht="33.75" customHeight="1">
      <c r="A20" s="464">
        <v>6</v>
      </c>
      <c r="B20" s="481"/>
      <c r="C20" s="13"/>
      <c r="D20" s="273" t="s">
        <v>177</v>
      </c>
      <c r="E20" s="216"/>
      <c r="F20" s="217"/>
      <c r="G20" s="217"/>
      <c r="H20" s="218"/>
      <c r="I20" s="218"/>
      <c r="J20" s="218"/>
      <c r="K20" s="218"/>
      <c r="L20" s="218"/>
      <c r="M20" s="218"/>
      <c r="N20" s="218"/>
      <c r="O20" s="218"/>
      <c r="P20" s="218"/>
      <c r="Q20" s="218"/>
      <c r="R20" s="218"/>
      <c r="S20" s="218"/>
      <c r="T20" s="218"/>
      <c r="U20" s="218"/>
      <c r="V20" s="218"/>
      <c r="W20" s="218"/>
      <c r="X20" s="221"/>
      <c r="Y20" s="218"/>
      <c r="Z20" s="218"/>
      <c r="AA20" s="218"/>
      <c r="AB20" s="196"/>
      <c r="AC20" s="453">
        <f t="shared" ref="AC20" si="2">SUM($E21:$G21)-SUM($I21:$AA21)+$AC18</f>
        <v>0</v>
      </c>
    </row>
    <row r="21" spans="1:29" s="7" customFormat="1" ht="33.75" customHeight="1" thickBot="1">
      <c r="A21" s="450"/>
      <c r="B21" s="482"/>
      <c r="C21" s="15"/>
      <c r="D21" s="274" t="s">
        <v>105</v>
      </c>
      <c r="E21" s="277"/>
      <c r="F21" s="278"/>
      <c r="G21" s="278"/>
      <c r="H21" s="276"/>
      <c r="I21" s="276"/>
      <c r="J21" s="276"/>
      <c r="K21" s="276"/>
      <c r="L21" s="276"/>
      <c r="M21" s="276"/>
      <c r="N21" s="276"/>
      <c r="O21" s="276"/>
      <c r="P21" s="276"/>
      <c r="Q21" s="276"/>
      <c r="R21" s="276"/>
      <c r="S21" s="276"/>
      <c r="T21" s="276"/>
      <c r="U21" s="276"/>
      <c r="V21" s="276"/>
      <c r="W21" s="276"/>
      <c r="X21" s="279"/>
      <c r="Y21" s="276"/>
      <c r="Z21" s="276"/>
      <c r="AA21" s="276"/>
      <c r="AB21" s="197"/>
      <c r="AC21" s="454"/>
    </row>
    <row r="22" spans="1:29" s="7" customFormat="1" ht="33.75" customHeight="1">
      <c r="A22" s="455">
        <v>7</v>
      </c>
      <c r="B22" s="481"/>
      <c r="C22" s="13"/>
      <c r="D22" s="273" t="s">
        <v>177</v>
      </c>
      <c r="E22" s="216"/>
      <c r="F22" s="217"/>
      <c r="G22" s="217"/>
      <c r="H22" s="218"/>
      <c r="I22" s="218"/>
      <c r="J22" s="218"/>
      <c r="K22" s="218"/>
      <c r="L22" s="218"/>
      <c r="M22" s="218"/>
      <c r="N22" s="218"/>
      <c r="O22" s="218"/>
      <c r="P22" s="218"/>
      <c r="Q22" s="218"/>
      <c r="R22" s="218"/>
      <c r="S22" s="218"/>
      <c r="T22" s="218"/>
      <c r="U22" s="218"/>
      <c r="V22" s="218"/>
      <c r="W22" s="218"/>
      <c r="X22" s="221"/>
      <c r="Y22" s="218"/>
      <c r="Z22" s="218"/>
      <c r="AA22" s="218"/>
      <c r="AB22" s="196"/>
      <c r="AC22" s="453">
        <f t="shared" ref="AC22" si="3">SUM($E23:$G23)-SUM($I23:$AA23)+$AC20</f>
        <v>0</v>
      </c>
    </row>
    <row r="23" spans="1:29" s="7" customFormat="1" ht="33.75" customHeight="1" thickBot="1">
      <c r="A23" s="456"/>
      <c r="B23" s="482"/>
      <c r="C23" s="15"/>
      <c r="D23" s="274" t="s">
        <v>105</v>
      </c>
      <c r="E23" s="277"/>
      <c r="F23" s="278"/>
      <c r="G23" s="278"/>
      <c r="H23" s="276"/>
      <c r="I23" s="276"/>
      <c r="J23" s="276"/>
      <c r="K23" s="276"/>
      <c r="L23" s="276"/>
      <c r="M23" s="276"/>
      <c r="N23" s="276"/>
      <c r="O23" s="276"/>
      <c r="P23" s="276"/>
      <c r="Q23" s="276"/>
      <c r="R23" s="276"/>
      <c r="S23" s="276"/>
      <c r="T23" s="276"/>
      <c r="U23" s="276"/>
      <c r="V23" s="276"/>
      <c r="W23" s="276"/>
      <c r="X23" s="279"/>
      <c r="Y23" s="276"/>
      <c r="Z23" s="276"/>
      <c r="AA23" s="276"/>
      <c r="AB23" s="197"/>
      <c r="AC23" s="454"/>
    </row>
    <row r="24" spans="1:29" s="7" customFormat="1" ht="33.75" customHeight="1">
      <c r="A24" s="464">
        <v>8</v>
      </c>
      <c r="B24" s="481"/>
      <c r="C24" s="13"/>
      <c r="D24" s="273" t="s">
        <v>177</v>
      </c>
      <c r="E24" s="216"/>
      <c r="F24" s="217"/>
      <c r="G24" s="217"/>
      <c r="H24" s="218"/>
      <c r="I24" s="218"/>
      <c r="J24" s="218"/>
      <c r="K24" s="218"/>
      <c r="L24" s="218"/>
      <c r="M24" s="218"/>
      <c r="N24" s="218"/>
      <c r="O24" s="218"/>
      <c r="P24" s="218"/>
      <c r="Q24" s="218"/>
      <c r="R24" s="218"/>
      <c r="S24" s="218"/>
      <c r="T24" s="218"/>
      <c r="U24" s="218"/>
      <c r="V24" s="218"/>
      <c r="W24" s="218"/>
      <c r="X24" s="221"/>
      <c r="Y24" s="218"/>
      <c r="Z24" s="218"/>
      <c r="AA24" s="218"/>
      <c r="AB24" s="196"/>
      <c r="AC24" s="453">
        <f t="shared" ref="AC24" si="4">SUM($E25:$G25)-SUM($I25:$AA25)+$AC22</f>
        <v>0</v>
      </c>
    </row>
    <row r="25" spans="1:29" s="7" customFormat="1" ht="33.75" customHeight="1" thickBot="1">
      <c r="A25" s="450"/>
      <c r="B25" s="482"/>
      <c r="C25" s="15"/>
      <c r="D25" s="274" t="s">
        <v>105</v>
      </c>
      <c r="E25" s="277"/>
      <c r="F25" s="278"/>
      <c r="G25" s="278"/>
      <c r="H25" s="276"/>
      <c r="I25" s="276"/>
      <c r="J25" s="276"/>
      <c r="K25" s="276"/>
      <c r="L25" s="276"/>
      <c r="M25" s="276"/>
      <c r="N25" s="276"/>
      <c r="O25" s="276"/>
      <c r="P25" s="276"/>
      <c r="Q25" s="276"/>
      <c r="R25" s="276"/>
      <c r="S25" s="276"/>
      <c r="T25" s="276"/>
      <c r="U25" s="276"/>
      <c r="V25" s="276"/>
      <c r="W25" s="276"/>
      <c r="X25" s="279"/>
      <c r="Y25" s="276"/>
      <c r="Z25" s="276"/>
      <c r="AA25" s="276"/>
      <c r="AB25" s="197"/>
      <c r="AC25" s="454"/>
    </row>
    <row r="26" spans="1:29" s="7" customFormat="1" ht="33.75" customHeight="1">
      <c r="A26" s="455">
        <v>9</v>
      </c>
      <c r="B26" s="481"/>
      <c r="C26" s="13"/>
      <c r="D26" s="273" t="s">
        <v>177</v>
      </c>
      <c r="E26" s="216"/>
      <c r="F26" s="217"/>
      <c r="G26" s="217"/>
      <c r="H26" s="218"/>
      <c r="I26" s="218"/>
      <c r="J26" s="218"/>
      <c r="K26" s="218"/>
      <c r="L26" s="218"/>
      <c r="M26" s="218"/>
      <c r="N26" s="218"/>
      <c r="O26" s="218"/>
      <c r="P26" s="218"/>
      <c r="Q26" s="218"/>
      <c r="R26" s="218"/>
      <c r="S26" s="218"/>
      <c r="T26" s="218"/>
      <c r="U26" s="218"/>
      <c r="V26" s="218"/>
      <c r="W26" s="218"/>
      <c r="X26" s="221"/>
      <c r="Y26" s="218"/>
      <c r="Z26" s="218"/>
      <c r="AA26" s="218"/>
      <c r="AB26" s="196"/>
      <c r="AC26" s="453">
        <f t="shared" ref="AC26" si="5">SUM($E27:$G27)-SUM($I27:$AA27)+$AC24</f>
        <v>0</v>
      </c>
    </row>
    <row r="27" spans="1:29" s="7" customFormat="1" ht="33.75" customHeight="1" thickBot="1">
      <c r="A27" s="456"/>
      <c r="B27" s="482"/>
      <c r="C27" s="15"/>
      <c r="D27" s="274" t="s">
        <v>105</v>
      </c>
      <c r="E27" s="277"/>
      <c r="F27" s="278"/>
      <c r="G27" s="278"/>
      <c r="H27" s="276"/>
      <c r="I27" s="276"/>
      <c r="J27" s="276"/>
      <c r="K27" s="276"/>
      <c r="L27" s="276"/>
      <c r="M27" s="276"/>
      <c r="N27" s="276"/>
      <c r="O27" s="276"/>
      <c r="P27" s="276"/>
      <c r="Q27" s="276"/>
      <c r="R27" s="276"/>
      <c r="S27" s="276"/>
      <c r="T27" s="276"/>
      <c r="U27" s="276"/>
      <c r="V27" s="276"/>
      <c r="W27" s="276"/>
      <c r="X27" s="279"/>
      <c r="Y27" s="276"/>
      <c r="Z27" s="276"/>
      <c r="AA27" s="276"/>
      <c r="AB27" s="197"/>
      <c r="AC27" s="454"/>
    </row>
    <row r="28" spans="1:29" s="7" customFormat="1" ht="33.75" customHeight="1">
      <c r="A28" s="464">
        <v>10</v>
      </c>
      <c r="B28" s="481"/>
      <c r="C28" s="13"/>
      <c r="D28" s="273" t="s">
        <v>177</v>
      </c>
      <c r="E28" s="216"/>
      <c r="F28" s="217"/>
      <c r="G28" s="217"/>
      <c r="H28" s="218"/>
      <c r="I28" s="218"/>
      <c r="J28" s="218"/>
      <c r="K28" s="218"/>
      <c r="L28" s="218"/>
      <c r="M28" s="218"/>
      <c r="N28" s="218"/>
      <c r="O28" s="218"/>
      <c r="P28" s="218"/>
      <c r="Q28" s="218"/>
      <c r="R28" s="218"/>
      <c r="S28" s="218"/>
      <c r="T28" s="218"/>
      <c r="U28" s="218"/>
      <c r="V28" s="218"/>
      <c r="W28" s="218"/>
      <c r="X28" s="221"/>
      <c r="Y28" s="218"/>
      <c r="Z28" s="218"/>
      <c r="AA28" s="218"/>
      <c r="AB28" s="196"/>
      <c r="AC28" s="453">
        <f t="shared" ref="AC28" si="6">SUM($E29:$G29)-SUM($I29:$AA29)+$AC26</f>
        <v>0</v>
      </c>
    </row>
    <row r="29" spans="1:29" s="7" customFormat="1" ht="33.75" customHeight="1" thickBot="1">
      <c r="A29" s="450"/>
      <c r="B29" s="482"/>
      <c r="C29" s="15"/>
      <c r="D29" s="274" t="s">
        <v>105</v>
      </c>
      <c r="E29" s="277"/>
      <c r="F29" s="278"/>
      <c r="G29" s="278"/>
      <c r="H29" s="276"/>
      <c r="I29" s="276"/>
      <c r="J29" s="276"/>
      <c r="K29" s="276"/>
      <c r="L29" s="276"/>
      <c r="M29" s="276"/>
      <c r="N29" s="276"/>
      <c r="O29" s="276"/>
      <c r="P29" s="276"/>
      <c r="Q29" s="276"/>
      <c r="R29" s="276"/>
      <c r="S29" s="276"/>
      <c r="T29" s="276"/>
      <c r="U29" s="276"/>
      <c r="V29" s="276"/>
      <c r="W29" s="276"/>
      <c r="X29" s="279"/>
      <c r="Y29" s="276"/>
      <c r="Z29" s="276"/>
      <c r="AA29" s="276"/>
      <c r="AB29" s="197"/>
      <c r="AC29" s="454"/>
    </row>
    <row r="30" spans="1:29" s="7" customFormat="1" ht="33.75" customHeight="1">
      <c r="A30" s="455">
        <v>11</v>
      </c>
      <c r="B30" s="481"/>
      <c r="C30" s="13"/>
      <c r="D30" s="273" t="s">
        <v>177</v>
      </c>
      <c r="E30" s="216"/>
      <c r="F30" s="217"/>
      <c r="G30" s="217"/>
      <c r="H30" s="218"/>
      <c r="I30" s="218"/>
      <c r="J30" s="218"/>
      <c r="K30" s="218"/>
      <c r="L30" s="218"/>
      <c r="M30" s="218"/>
      <c r="N30" s="218"/>
      <c r="O30" s="218"/>
      <c r="P30" s="218"/>
      <c r="Q30" s="218"/>
      <c r="R30" s="218"/>
      <c r="S30" s="218"/>
      <c r="T30" s="218"/>
      <c r="U30" s="218"/>
      <c r="V30" s="218"/>
      <c r="W30" s="218"/>
      <c r="X30" s="221"/>
      <c r="Y30" s="218"/>
      <c r="Z30" s="218"/>
      <c r="AA30" s="218"/>
      <c r="AB30" s="196"/>
      <c r="AC30" s="453">
        <f t="shared" ref="AC30" si="7">SUM($E31:$G31)-SUM($I31:$AA31)+$AC28</f>
        <v>0</v>
      </c>
    </row>
    <row r="31" spans="1:29" s="7" customFormat="1" ht="33.75" customHeight="1" thickBot="1">
      <c r="A31" s="456"/>
      <c r="B31" s="482"/>
      <c r="C31" s="15"/>
      <c r="D31" s="274" t="s">
        <v>105</v>
      </c>
      <c r="E31" s="277"/>
      <c r="F31" s="278"/>
      <c r="G31" s="278"/>
      <c r="H31" s="276"/>
      <c r="I31" s="276"/>
      <c r="J31" s="276"/>
      <c r="K31" s="276"/>
      <c r="L31" s="276"/>
      <c r="M31" s="276"/>
      <c r="N31" s="276"/>
      <c r="O31" s="276"/>
      <c r="P31" s="276"/>
      <c r="Q31" s="276"/>
      <c r="R31" s="276"/>
      <c r="S31" s="276"/>
      <c r="T31" s="276"/>
      <c r="U31" s="276"/>
      <c r="V31" s="276"/>
      <c r="W31" s="276"/>
      <c r="X31" s="279"/>
      <c r="Y31" s="276"/>
      <c r="Z31" s="276"/>
      <c r="AA31" s="276"/>
      <c r="AB31" s="197"/>
      <c r="AC31" s="454"/>
    </row>
    <row r="32" spans="1:29" s="7" customFormat="1" ht="33.75" customHeight="1">
      <c r="A32" s="464">
        <v>12</v>
      </c>
      <c r="B32" s="481"/>
      <c r="C32" s="13"/>
      <c r="D32" s="273" t="s">
        <v>177</v>
      </c>
      <c r="E32" s="216"/>
      <c r="F32" s="217"/>
      <c r="G32" s="217"/>
      <c r="H32" s="218"/>
      <c r="I32" s="218"/>
      <c r="J32" s="218"/>
      <c r="K32" s="218"/>
      <c r="L32" s="218"/>
      <c r="M32" s="218"/>
      <c r="N32" s="218"/>
      <c r="O32" s="218"/>
      <c r="P32" s="218"/>
      <c r="Q32" s="218"/>
      <c r="R32" s="218"/>
      <c r="S32" s="218"/>
      <c r="T32" s="218"/>
      <c r="U32" s="218"/>
      <c r="V32" s="218"/>
      <c r="W32" s="218"/>
      <c r="X32" s="221"/>
      <c r="Y32" s="218"/>
      <c r="Z32" s="218"/>
      <c r="AA32" s="218"/>
      <c r="AB32" s="196"/>
      <c r="AC32" s="453">
        <f t="shared" ref="AC32" si="8">SUM($E33:$G33)-SUM($I33:$AA33)+$AC30</f>
        <v>0</v>
      </c>
    </row>
    <row r="33" spans="1:29" s="7" customFormat="1" ht="33.75" customHeight="1" thickBot="1">
      <c r="A33" s="450"/>
      <c r="B33" s="482"/>
      <c r="C33" s="15"/>
      <c r="D33" s="274" t="s">
        <v>105</v>
      </c>
      <c r="E33" s="277"/>
      <c r="F33" s="278"/>
      <c r="G33" s="278"/>
      <c r="H33" s="276"/>
      <c r="I33" s="276"/>
      <c r="J33" s="276"/>
      <c r="K33" s="276"/>
      <c r="L33" s="276"/>
      <c r="M33" s="276"/>
      <c r="N33" s="276"/>
      <c r="O33" s="276"/>
      <c r="P33" s="276"/>
      <c r="Q33" s="276"/>
      <c r="R33" s="276"/>
      <c r="S33" s="276"/>
      <c r="T33" s="276"/>
      <c r="U33" s="276"/>
      <c r="V33" s="276"/>
      <c r="W33" s="276"/>
      <c r="X33" s="279"/>
      <c r="Y33" s="276"/>
      <c r="Z33" s="276"/>
      <c r="AA33" s="276"/>
      <c r="AB33" s="197"/>
      <c r="AC33" s="454"/>
    </row>
    <row r="34" spans="1:29" s="7" customFormat="1" ht="33.75" customHeight="1">
      <c r="A34" s="455">
        <v>13</v>
      </c>
      <c r="B34" s="481"/>
      <c r="C34" s="13"/>
      <c r="D34" s="273" t="s">
        <v>177</v>
      </c>
      <c r="E34" s="216"/>
      <c r="F34" s="217"/>
      <c r="G34" s="217"/>
      <c r="H34" s="218"/>
      <c r="I34" s="218"/>
      <c r="J34" s="218"/>
      <c r="K34" s="218"/>
      <c r="L34" s="218"/>
      <c r="M34" s="218"/>
      <c r="N34" s="218"/>
      <c r="O34" s="218"/>
      <c r="P34" s="218"/>
      <c r="Q34" s="218"/>
      <c r="R34" s="218"/>
      <c r="S34" s="218"/>
      <c r="T34" s="218"/>
      <c r="U34" s="218"/>
      <c r="V34" s="218"/>
      <c r="W34" s="218"/>
      <c r="X34" s="221"/>
      <c r="Y34" s="218"/>
      <c r="Z34" s="218"/>
      <c r="AA34" s="218"/>
      <c r="AB34" s="196"/>
      <c r="AC34" s="453">
        <f>SUM($E35:$G35)-SUM($I35:$AA35)+$AC32</f>
        <v>0</v>
      </c>
    </row>
    <row r="35" spans="1:29" s="7" customFormat="1" ht="33.75" customHeight="1" thickBot="1">
      <c r="A35" s="456"/>
      <c r="B35" s="482"/>
      <c r="C35" s="15"/>
      <c r="D35" s="274" t="s">
        <v>105</v>
      </c>
      <c r="E35" s="277"/>
      <c r="F35" s="278"/>
      <c r="G35" s="278"/>
      <c r="H35" s="276"/>
      <c r="I35" s="276"/>
      <c r="J35" s="276"/>
      <c r="K35" s="276"/>
      <c r="L35" s="276"/>
      <c r="M35" s="276"/>
      <c r="N35" s="276"/>
      <c r="O35" s="276"/>
      <c r="P35" s="276"/>
      <c r="Q35" s="276"/>
      <c r="R35" s="276"/>
      <c r="S35" s="276"/>
      <c r="T35" s="276"/>
      <c r="U35" s="276"/>
      <c r="V35" s="276"/>
      <c r="W35" s="276"/>
      <c r="X35" s="279"/>
      <c r="Y35" s="276"/>
      <c r="Z35" s="276"/>
      <c r="AA35" s="276"/>
      <c r="AB35" s="197"/>
      <c r="AC35" s="454"/>
    </row>
    <row r="36" spans="1:29" s="7" customFormat="1" ht="33.75" customHeight="1">
      <c r="A36" s="464">
        <v>14</v>
      </c>
      <c r="B36" s="481"/>
      <c r="C36" s="13"/>
      <c r="D36" s="273" t="s">
        <v>177</v>
      </c>
      <c r="E36" s="216"/>
      <c r="F36" s="217"/>
      <c r="G36" s="217"/>
      <c r="H36" s="218"/>
      <c r="I36" s="218"/>
      <c r="J36" s="218"/>
      <c r="K36" s="218"/>
      <c r="L36" s="218"/>
      <c r="M36" s="218"/>
      <c r="N36" s="218"/>
      <c r="O36" s="218"/>
      <c r="P36" s="218"/>
      <c r="Q36" s="218"/>
      <c r="R36" s="218"/>
      <c r="S36" s="218"/>
      <c r="T36" s="218"/>
      <c r="U36" s="218"/>
      <c r="V36" s="218"/>
      <c r="W36" s="218"/>
      <c r="X36" s="221"/>
      <c r="Y36" s="218"/>
      <c r="Z36" s="218"/>
      <c r="AA36" s="218"/>
      <c r="AB36" s="196"/>
      <c r="AC36" s="453">
        <f t="shared" ref="AC36" si="9">SUM($E37:$G37)-SUM($I37:$AA37)+$AC34</f>
        <v>0</v>
      </c>
    </row>
    <row r="37" spans="1:29" s="7" customFormat="1" ht="33.75" customHeight="1" thickBot="1">
      <c r="A37" s="449"/>
      <c r="B37" s="483"/>
      <c r="C37" s="15"/>
      <c r="D37" s="199" t="s">
        <v>105</v>
      </c>
      <c r="E37" s="280"/>
      <c r="F37" s="281"/>
      <c r="G37" s="281"/>
      <c r="H37" s="282"/>
      <c r="I37" s="282"/>
      <c r="J37" s="282"/>
      <c r="K37" s="282"/>
      <c r="L37" s="282"/>
      <c r="M37" s="282"/>
      <c r="N37" s="282"/>
      <c r="O37" s="282"/>
      <c r="P37" s="282"/>
      <c r="Q37" s="282"/>
      <c r="R37" s="282"/>
      <c r="S37" s="282"/>
      <c r="T37" s="282"/>
      <c r="U37" s="282"/>
      <c r="V37" s="282"/>
      <c r="W37" s="282"/>
      <c r="X37" s="283"/>
      <c r="Y37" s="282"/>
      <c r="Z37" s="282"/>
      <c r="AA37" s="282"/>
      <c r="AB37" s="194"/>
      <c r="AC37" s="465"/>
    </row>
    <row r="38" spans="1:29" s="7" customFormat="1" ht="33.75" customHeight="1">
      <c r="A38" s="455">
        <v>15</v>
      </c>
      <c r="B38" s="479"/>
      <c r="C38" s="13"/>
      <c r="D38" s="273" t="s">
        <v>177</v>
      </c>
      <c r="E38" s="216"/>
      <c r="F38" s="217"/>
      <c r="G38" s="217"/>
      <c r="H38" s="218"/>
      <c r="I38" s="218"/>
      <c r="J38" s="218"/>
      <c r="K38" s="218"/>
      <c r="L38" s="218"/>
      <c r="M38" s="218"/>
      <c r="N38" s="218"/>
      <c r="O38" s="218"/>
      <c r="P38" s="218"/>
      <c r="Q38" s="218"/>
      <c r="R38" s="218"/>
      <c r="S38" s="218"/>
      <c r="T38" s="218"/>
      <c r="U38" s="218"/>
      <c r="V38" s="218"/>
      <c r="W38" s="218"/>
      <c r="X38" s="221"/>
      <c r="Y38" s="218"/>
      <c r="Z38" s="218"/>
      <c r="AA38" s="218"/>
      <c r="AB38" s="190"/>
      <c r="AC38" s="453">
        <f t="shared" ref="AC38" si="10">SUM($E39:$G39)-SUM($I39:$AA39)+$AC36</f>
        <v>0</v>
      </c>
    </row>
    <row r="39" spans="1:29" s="7" customFormat="1" ht="33.75" customHeight="1" thickBot="1">
      <c r="A39" s="459"/>
      <c r="B39" s="480"/>
      <c r="C39" s="15"/>
      <c r="D39" s="274" t="s">
        <v>105</v>
      </c>
      <c r="E39" s="277"/>
      <c r="F39" s="278"/>
      <c r="G39" s="278"/>
      <c r="H39" s="276"/>
      <c r="I39" s="276"/>
      <c r="J39" s="276"/>
      <c r="K39" s="276"/>
      <c r="L39" s="276"/>
      <c r="M39" s="276"/>
      <c r="N39" s="276"/>
      <c r="O39" s="276"/>
      <c r="P39" s="276"/>
      <c r="Q39" s="276"/>
      <c r="R39" s="276"/>
      <c r="S39" s="276"/>
      <c r="T39" s="276"/>
      <c r="U39" s="276"/>
      <c r="V39" s="276"/>
      <c r="W39" s="276"/>
      <c r="X39" s="279"/>
      <c r="Y39" s="276"/>
      <c r="Z39" s="276"/>
      <c r="AA39" s="276"/>
      <c r="AB39" s="191"/>
      <c r="AC39" s="454"/>
    </row>
    <row r="40" spans="1:29" s="7" customFormat="1" ht="33.75" customHeight="1">
      <c r="A40" s="466">
        <v>16</v>
      </c>
      <c r="B40" s="479"/>
      <c r="C40" s="13"/>
      <c r="D40" s="273" t="s">
        <v>177</v>
      </c>
      <c r="E40" s="216"/>
      <c r="F40" s="217"/>
      <c r="G40" s="217"/>
      <c r="H40" s="218"/>
      <c r="I40" s="218"/>
      <c r="J40" s="218"/>
      <c r="K40" s="218"/>
      <c r="L40" s="218"/>
      <c r="M40" s="218"/>
      <c r="N40" s="218"/>
      <c r="O40" s="218"/>
      <c r="P40" s="218"/>
      <c r="Q40" s="218"/>
      <c r="R40" s="218"/>
      <c r="S40" s="218"/>
      <c r="T40" s="218"/>
      <c r="U40" s="218"/>
      <c r="V40" s="218"/>
      <c r="W40" s="218"/>
      <c r="X40" s="221"/>
      <c r="Y40" s="218"/>
      <c r="Z40" s="218"/>
      <c r="AA40" s="218"/>
      <c r="AB40" s="190"/>
      <c r="AC40" s="453">
        <f t="shared" ref="AC40" si="11">SUM($E41:$G41)-SUM($I41:$AA41)+$AC38</f>
        <v>0</v>
      </c>
    </row>
    <row r="41" spans="1:29" s="7" customFormat="1" ht="33.75" customHeight="1" thickBot="1">
      <c r="A41" s="467"/>
      <c r="B41" s="480"/>
      <c r="C41" s="15"/>
      <c r="D41" s="274" t="s">
        <v>105</v>
      </c>
      <c r="E41" s="277"/>
      <c r="F41" s="278"/>
      <c r="G41" s="278"/>
      <c r="H41" s="276"/>
      <c r="I41" s="276"/>
      <c r="J41" s="276"/>
      <c r="K41" s="276"/>
      <c r="L41" s="276"/>
      <c r="M41" s="276"/>
      <c r="N41" s="276"/>
      <c r="O41" s="276"/>
      <c r="P41" s="276"/>
      <c r="Q41" s="276"/>
      <c r="R41" s="276"/>
      <c r="S41" s="276"/>
      <c r="T41" s="276"/>
      <c r="U41" s="276"/>
      <c r="V41" s="276"/>
      <c r="W41" s="276"/>
      <c r="X41" s="279"/>
      <c r="Y41" s="276"/>
      <c r="Z41" s="276"/>
      <c r="AA41" s="276"/>
      <c r="AB41" s="191"/>
      <c r="AC41" s="454"/>
    </row>
    <row r="42" spans="1:29" s="7" customFormat="1" ht="33.75" customHeight="1">
      <c r="A42" s="468">
        <v>17</v>
      </c>
      <c r="B42" s="483"/>
      <c r="C42" s="13"/>
      <c r="D42" s="275" t="s">
        <v>177</v>
      </c>
      <c r="E42" s="222"/>
      <c r="F42" s="223"/>
      <c r="G42" s="223"/>
      <c r="H42" s="224"/>
      <c r="I42" s="224"/>
      <c r="J42" s="224"/>
      <c r="K42" s="224"/>
      <c r="L42" s="224"/>
      <c r="M42" s="224"/>
      <c r="N42" s="224"/>
      <c r="O42" s="224"/>
      <c r="P42" s="224"/>
      <c r="Q42" s="224"/>
      <c r="R42" s="224"/>
      <c r="S42" s="224"/>
      <c r="T42" s="224"/>
      <c r="U42" s="224"/>
      <c r="V42" s="224"/>
      <c r="W42" s="224"/>
      <c r="X42" s="224"/>
      <c r="Y42" s="224"/>
      <c r="Z42" s="224"/>
      <c r="AA42" s="224"/>
      <c r="AB42" s="195"/>
      <c r="AC42" s="453">
        <f t="shared" ref="AC42" si="12">SUM($E43:$G43)-SUM($I43:$AA43)+$AC40</f>
        <v>0</v>
      </c>
    </row>
    <row r="43" spans="1:29" s="7" customFormat="1" ht="33.75" customHeight="1" thickBot="1">
      <c r="A43" s="459"/>
      <c r="B43" s="482"/>
      <c r="C43" s="15"/>
      <c r="D43" s="274" t="s">
        <v>105</v>
      </c>
      <c r="E43" s="277"/>
      <c r="F43" s="278"/>
      <c r="G43" s="278"/>
      <c r="H43" s="276"/>
      <c r="I43" s="276"/>
      <c r="J43" s="276"/>
      <c r="K43" s="276"/>
      <c r="L43" s="276"/>
      <c r="M43" s="276"/>
      <c r="N43" s="276"/>
      <c r="O43" s="276"/>
      <c r="P43" s="276"/>
      <c r="Q43" s="276"/>
      <c r="R43" s="276"/>
      <c r="S43" s="276"/>
      <c r="T43" s="276"/>
      <c r="U43" s="276"/>
      <c r="V43" s="276"/>
      <c r="W43" s="276"/>
      <c r="X43" s="276"/>
      <c r="Y43" s="276"/>
      <c r="Z43" s="276"/>
      <c r="AA43" s="276"/>
      <c r="AB43" s="197"/>
      <c r="AC43" s="454"/>
    </row>
    <row r="44" spans="1:29" s="7" customFormat="1" ht="33.75" customHeight="1">
      <c r="A44" s="455">
        <v>18</v>
      </c>
      <c r="B44" s="481"/>
      <c r="C44" s="13"/>
      <c r="D44" s="273" t="s">
        <v>177</v>
      </c>
      <c r="E44" s="216"/>
      <c r="F44" s="217"/>
      <c r="G44" s="217"/>
      <c r="H44" s="218"/>
      <c r="I44" s="218"/>
      <c r="J44" s="218"/>
      <c r="K44" s="218"/>
      <c r="L44" s="218"/>
      <c r="M44" s="218"/>
      <c r="N44" s="218"/>
      <c r="O44" s="218"/>
      <c r="P44" s="218"/>
      <c r="Q44" s="218"/>
      <c r="R44" s="218"/>
      <c r="S44" s="218"/>
      <c r="T44" s="218"/>
      <c r="U44" s="218"/>
      <c r="V44" s="218"/>
      <c r="W44" s="218"/>
      <c r="X44" s="218"/>
      <c r="Y44" s="218"/>
      <c r="Z44" s="218"/>
      <c r="AA44" s="218"/>
      <c r="AB44" s="196"/>
      <c r="AC44" s="453">
        <f t="shared" ref="AC44" si="13">SUM($E45:$G45)-SUM($I45:$AA45)+$AC42</f>
        <v>0</v>
      </c>
    </row>
    <row r="45" spans="1:29" s="7" customFormat="1" ht="33.75" customHeight="1" thickBot="1">
      <c r="A45" s="459"/>
      <c r="B45" s="482"/>
      <c r="C45" s="15"/>
      <c r="D45" s="274" t="s">
        <v>105</v>
      </c>
      <c r="E45" s="277"/>
      <c r="F45" s="278"/>
      <c r="G45" s="278"/>
      <c r="H45" s="276"/>
      <c r="I45" s="276"/>
      <c r="J45" s="276"/>
      <c r="K45" s="276"/>
      <c r="L45" s="276"/>
      <c r="M45" s="276"/>
      <c r="N45" s="276"/>
      <c r="O45" s="276"/>
      <c r="P45" s="276"/>
      <c r="Q45" s="276"/>
      <c r="R45" s="276"/>
      <c r="S45" s="276"/>
      <c r="T45" s="276"/>
      <c r="U45" s="276"/>
      <c r="V45" s="276"/>
      <c r="W45" s="276"/>
      <c r="X45" s="276"/>
      <c r="Y45" s="276"/>
      <c r="Z45" s="276"/>
      <c r="AA45" s="276"/>
      <c r="AB45" s="197"/>
      <c r="AC45" s="454"/>
    </row>
    <row r="46" spans="1:29" s="7" customFormat="1" ht="33.75" customHeight="1">
      <c r="A46" s="455">
        <v>19</v>
      </c>
      <c r="B46" s="481"/>
      <c r="C46" s="13"/>
      <c r="D46" s="273" t="s">
        <v>177</v>
      </c>
      <c r="E46" s="216"/>
      <c r="F46" s="217"/>
      <c r="G46" s="217"/>
      <c r="H46" s="218"/>
      <c r="I46" s="218"/>
      <c r="J46" s="218"/>
      <c r="K46" s="218"/>
      <c r="L46" s="218"/>
      <c r="M46" s="218"/>
      <c r="N46" s="218"/>
      <c r="O46" s="218"/>
      <c r="P46" s="218"/>
      <c r="Q46" s="218"/>
      <c r="R46" s="218"/>
      <c r="S46" s="218"/>
      <c r="T46" s="218"/>
      <c r="U46" s="218"/>
      <c r="V46" s="218"/>
      <c r="W46" s="218"/>
      <c r="X46" s="218"/>
      <c r="Y46" s="218"/>
      <c r="Z46" s="218"/>
      <c r="AA46" s="218"/>
      <c r="AB46" s="196"/>
      <c r="AC46" s="453">
        <f t="shared" ref="AC46" si="14">SUM($E47:$G47)-SUM($I47:$AA47)+$AC44</f>
        <v>0</v>
      </c>
    </row>
    <row r="47" spans="1:29" s="7" customFormat="1" ht="33.75" customHeight="1" thickBot="1">
      <c r="A47" s="459"/>
      <c r="B47" s="482"/>
      <c r="C47" s="15"/>
      <c r="D47" s="274" t="s">
        <v>105</v>
      </c>
      <c r="E47" s="277"/>
      <c r="F47" s="278"/>
      <c r="G47" s="278"/>
      <c r="H47" s="276"/>
      <c r="I47" s="276"/>
      <c r="J47" s="276"/>
      <c r="K47" s="276"/>
      <c r="L47" s="276"/>
      <c r="M47" s="276"/>
      <c r="N47" s="276"/>
      <c r="O47" s="276"/>
      <c r="P47" s="276"/>
      <c r="Q47" s="276"/>
      <c r="R47" s="276"/>
      <c r="S47" s="276"/>
      <c r="T47" s="276"/>
      <c r="U47" s="276"/>
      <c r="V47" s="276"/>
      <c r="W47" s="276"/>
      <c r="X47" s="276"/>
      <c r="Y47" s="276"/>
      <c r="Z47" s="276"/>
      <c r="AA47" s="276"/>
      <c r="AB47" s="197"/>
      <c r="AC47" s="454"/>
    </row>
    <row r="48" spans="1:29" s="7" customFormat="1" ht="33.75" customHeight="1">
      <c r="A48" s="455">
        <v>20</v>
      </c>
      <c r="B48" s="481"/>
      <c r="C48" s="13"/>
      <c r="D48" s="273" t="s">
        <v>177</v>
      </c>
      <c r="E48" s="216"/>
      <c r="F48" s="217"/>
      <c r="G48" s="217"/>
      <c r="H48" s="218"/>
      <c r="I48" s="218"/>
      <c r="J48" s="218"/>
      <c r="K48" s="218"/>
      <c r="L48" s="218"/>
      <c r="M48" s="218"/>
      <c r="N48" s="218"/>
      <c r="O48" s="218"/>
      <c r="P48" s="218"/>
      <c r="Q48" s="218"/>
      <c r="R48" s="218"/>
      <c r="S48" s="218"/>
      <c r="T48" s="218"/>
      <c r="U48" s="218"/>
      <c r="V48" s="218"/>
      <c r="W48" s="218"/>
      <c r="X48" s="218"/>
      <c r="Y48" s="218"/>
      <c r="Z48" s="218"/>
      <c r="AA48" s="218"/>
      <c r="AB48" s="196"/>
      <c r="AC48" s="453">
        <f t="shared" ref="AC48" si="15">SUM($E49:$G49)-SUM($I49:$AA49)+$AC46</f>
        <v>0</v>
      </c>
    </row>
    <row r="49" spans="1:29" s="7" customFormat="1" ht="33.75" customHeight="1" thickBot="1">
      <c r="A49" s="459"/>
      <c r="B49" s="482"/>
      <c r="C49" s="15"/>
      <c r="D49" s="274" t="s">
        <v>105</v>
      </c>
      <c r="E49" s="277"/>
      <c r="F49" s="278"/>
      <c r="G49" s="278"/>
      <c r="H49" s="276"/>
      <c r="I49" s="276"/>
      <c r="J49" s="276"/>
      <c r="K49" s="276"/>
      <c r="L49" s="276"/>
      <c r="M49" s="276"/>
      <c r="N49" s="276"/>
      <c r="O49" s="276"/>
      <c r="P49" s="276"/>
      <c r="Q49" s="276"/>
      <c r="R49" s="276"/>
      <c r="S49" s="276"/>
      <c r="T49" s="276"/>
      <c r="U49" s="276"/>
      <c r="V49" s="276"/>
      <c r="W49" s="276"/>
      <c r="X49" s="276"/>
      <c r="Y49" s="276"/>
      <c r="Z49" s="276"/>
      <c r="AA49" s="276"/>
      <c r="AB49" s="197"/>
      <c r="AC49" s="454"/>
    </row>
    <row r="50" spans="1:29" s="7" customFormat="1" ht="33.75" customHeight="1">
      <c r="A50" s="455">
        <v>21</v>
      </c>
      <c r="B50" s="481"/>
      <c r="C50" s="13"/>
      <c r="D50" s="273" t="s">
        <v>177</v>
      </c>
      <c r="E50" s="216"/>
      <c r="F50" s="217"/>
      <c r="G50" s="217"/>
      <c r="H50" s="218"/>
      <c r="I50" s="218"/>
      <c r="J50" s="218"/>
      <c r="K50" s="218"/>
      <c r="L50" s="218"/>
      <c r="M50" s="218"/>
      <c r="N50" s="218"/>
      <c r="O50" s="218"/>
      <c r="P50" s="218"/>
      <c r="Q50" s="218"/>
      <c r="R50" s="218"/>
      <c r="S50" s="218"/>
      <c r="T50" s="218"/>
      <c r="U50" s="218"/>
      <c r="V50" s="218"/>
      <c r="W50" s="218"/>
      <c r="X50" s="218"/>
      <c r="Y50" s="218"/>
      <c r="Z50" s="218"/>
      <c r="AA50" s="218"/>
      <c r="AB50" s="196"/>
      <c r="AC50" s="453">
        <f t="shared" ref="AC50" si="16">SUM($E51:$G51)-SUM($I51:$AA51)+$AC48</f>
        <v>0</v>
      </c>
    </row>
    <row r="51" spans="1:29" s="7" customFormat="1" ht="33.75" customHeight="1" thickBot="1">
      <c r="A51" s="459"/>
      <c r="B51" s="482"/>
      <c r="C51" s="15"/>
      <c r="D51" s="274" t="s">
        <v>105</v>
      </c>
      <c r="E51" s="277"/>
      <c r="F51" s="278"/>
      <c r="G51" s="278"/>
      <c r="H51" s="276"/>
      <c r="I51" s="276"/>
      <c r="J51" s="276"/>
      <c r="K51" s="276"/>
      <c r="L51" s="276"/>
      <c r="M51" s="276"/>
      <c r="N51" s="276"/>
      <c r="O51" s="276"/>
      <c r="P51" s="276"/>
      <c r="Q51" s="276"/>
      <c r="R51" s="276"/>
      <c r="S51" s="276"/>
      <c r="T51" s="276"/>
      <c r="U51" s="276"/>
      <c r="V51" s="276"/>
      <c r="W51" s="276"/>
      <c r="X51" s="276"/>
      <c r="Y51" s="276"/>
      <c r="Z51" s="276"/>
      <c r="AA51" s="276"/>
      <c r="AB51" s="197"/>
      <c r="AC51" s="454"/>
    </row>
    <row r="52" spans="1:29" s="7" customFormat="1" ht="33.75" customHeight="1">
      <c r="A52" s="455">
        <v>22</v>
      </c>
      <c r="B52" s="481"/>
      <c r="C52" s="13"/>
      <c r="D52" s="273" t="s">
        <v>177</v>
      </c>
      <c r="E52" s="216"/>
      <c r="F52" s="217"/>
      <c r="G52" s="217"/>
      <c r="H52" s="218"/>
      <c r="I52" s="218"/>
      <c r="J52" s="218"/>
      <c r="K52" s="218"/>
      <c r="L52" s="218"/>
      <c r="M52" s="218"/>
      <c r="N52" s="218"/>
      <c r="O52" s="218"/>
      <c r="P52" s="218"/>
      <c r="Q52" s="218"/>
      <c r="R52" s="218"/>
      <c r="S52" s="218"/>
      <c r="T52" s="218"/>
      <c r="U52" s="218"/>
      <c r="V52" s="218"/>
      <c r="W52" s="218"/>
      <c r="X52" s="218"/>
      <c r="Y52" s="218"/>
      <c r="Z52" s="218"/>
      <c r="AA52" s="218"/>
      <c r="AB52" s="196"/>
      <c r="AC52" s="453">
        <f t="shared" ref="AC52" si="17">SUM($E53:$G53)-SUM($I53:$AA53)+$AC50</f>
        <v>0</v>
      </c>
    </row>
    <row r="53" spans="1:29" s="7" customFormat="1" ht="33.75" customHeight="1" thickBot="1">
      <c r="A53" s="459"/>
      <c r="B53" s="482"/>
      <c r="C53" s="15"/>
      <c r="D53" s="274" t="s">
        <v>105</v>
      </c>
      <c r="E53" s="277"/>
      <c r="F53" s="278"/>
      <c r="G53" s="278"/>
      <c r="H53" s="276"/>
      <c r="I53" s="276"/>
      <c r="J53" s="276"/>
      <c r="K53" s="276"/>
      <c r="L53" s="276"/>
      <c r="M53" s="276"/>
      <c r="N53" s="276"/>
      <c r="O53" s="276"/>
      <c r="P53" s="276"/>
      <c r="Q53" s="276"/>
      <c r="R53" s="276"/>
      <c r="S53" s="276"/>
      <c r="T53" s="276"/>
      <c r="U53" s="276"/>
      <c r="V53" s="276"/>
      <c r="W53" s="276"/>
      <c r="X53" s="276"/>
      <c r="Y53" s="276"/>
      <c r="Z53" s="276"/>
      <c r="AA53" s="276"/>
      <c r="AB53" s="197"/>
      <c r="AC53" s="454"/>
    </row>
    <row r="54" spans="1:29" s="7" customFormat="1" ht="33.75" customHeight="1">
      <c r="A54" s="455">
        <v>23</v>
      </c>
      <c r="B54" s="481"/>
      <c r="C54" s="13"/>
      <c r="D54" s="273" t="s">
        <v>177</v>
      </c>
      <c r="E54" s="216"/>
      <c r="F54" s="217"/>
      <c r="G54" s="217"/>
      <c r="H54" s="218"/>
      <c r="I54" s="218"/>
      <c r="J54" s="218"/>
      <c r="K54" s="218"/>
      <c r="L54" s="218"/>
      <c r="M54" s="218"/>
      <c r="N54" s="218"/>
      <c r="O54" s="218"/>
      <c r="P54" s="218"/>
      <c r="Q54" s="218"/>
      <c r="R54" s="218"/>
      <c r="S54" s="218"/>
      <c r="T54" s="218"/>
      <c r="U54" s="218"/>
      <c r="V54" s="218"/>
      <c r="W54" s="218"/>
      <c r="X54" s="218"/>
      <c r="Y54" s="218"/>
      <c r="Z54" s="218"/>
      <c r="AA54" s="218"/>
      <c r="AB54" s="196"/>
      <c r="AC54" s="453">
        <f t="shared" ref="AC54" si="18">SUM($E55:$G55)-SUM($I55:$AA55)+$AC52</f>
        <v>0</v>
      </c>
    </row>
    <row r="55" spans="1:29" s="7" customFormat="1" ht="33.75" customHeight="1" thickBot="1">
      <c r="A55" s="459"/>
      <c r="B55" s="482"/>
      <c r="C55" s="15"/>
      <c r="D55" s="274" t="s">
        <v>105</v>
      </c>
      <c r="E55" s="277"/>
      <c r="F55" s="278"/>
      <c r="G55" s="278"/>
      <c r="H55" s="276"/>
      <c r="I55" s="276"/>
      <c r="J55" s="276"/>
      <c r="K55" s="276"/>
      <c r="L55" s="276"/>
      <c r="M55" s="276"/>
      <c r="N55" s="276"/>
      <c r="O55" s="276"/>
      <c r="P55" s="276"/>
      <c r="Q55" s="276"/>
      <c r="R55" s="276"/>
      <c r="S55" s="276"/>
      <c r="T55" s="276"/>
      <c r="U55" s="276"/>
      <c r="V55" s="276"/>
      <c r="W55" s="276"/>
      <c r="X55" s="276"/>
      <c r="Y55" s="276"/>
      <c r="Z55" s="276"/>
      <c r="AA55" s="276"/>
      <c r="AB55" s="197"/>
      <c r="AC55" s="454"/>
    </row>
    <row r="56" spans="1:29" s="7" customFormat="1" ht="33.75" customHeight="1">
      <c r="A56" s="455">
        <v>24</v>
      </c>
      <c r="B56" s="481"/>
      <c r="C56" s="13"/>
      <c r="D56" s="273" t="s">
        <v>177</v>
      </c>
      <c r="E56" s="216"/>
      <c r="F56" s="217"/>
      <c r="G56" s="217"/>
      <c r="H56" s="218"/>
      <c r="I56" s="218"/>
      <c r="J56" s="218"/>
      <c r="K56" s="218"/>
      <c r="L56" s="218"/>
      <c r="M56" s="218"/>
      <c r="N56" s="218"/>
      <c r="O56" s="218"/>
      <c r="P56" s="218"/>
      <c r="Q56" s="218"/>
      <c r="R56" s="218"/>
      <c r="S56" s="218"/>
      <c r="T56" s="218"/>
      <c r="U56" s="218"/>
      <c r="V56" s="218"/>
      <c r="W56" s="218"/>
      <c r="X56" s="218"/>
      <c r="Y56" s="218"/>
      <c r="Z56" s="218"/>
      <c r="AA56" s="218"/>
      <c r="AB56" s="196"/>
      <c r="AC56" s="453">
        <f t="shared" ref="AC56" si="19">SUM($E57:$G57)-SUM($I57:$AA57)+$AC54</f>
        <v>0</v>
      </c>
    </row>
    <row r="57" spans="1:29" s="7" customFormat="1" ht="33.75" customHeight="1" thickBot="1">
      <c r="A57" s="459"/>
      <c r="B57" s="482"/>
      <c r="C57" s="15"/>
      <c r="D57" s="274" t="s">
        <v>105</v>
      </c>
      <c r="E57" s="277"/>
      <c r="F57" s="278"/>
      <c r="G57" s="278"/>
      <c r="H57" s="276"/>
      <c r="I57" s="276"/>
      <c r="J57" s="276"/>
      <c r="K57" s="276"/>
      <c r="L57" s="276"/>
      <c r="M57" s="276"/>
      <c r="N57" s="276"/>
      <c r="O57" s="276"/>
      <c r="P57" s="276"/>
      <c r="Q57" s="276"/>
      <c r="R57" s="276"/>
      <c r="S57" s="276"/>
      <c r="T57" s="276"/>
      <c r="U57" s="276"/>
      <c r="V57" s="276"/>
      <c r="W57" s="276"/>
      <c r="X57" s="276"/>
      <c r="Y57" s="276"/>
      <c r="Z57" s="276"/>
      <c r="AA57" s="276"/>
      <c r="AB57" s="197"/>
      <c r="AC57" s="454"/>
    </row>
    <row r="58" spans="1:29" s="7" customFormat="1" ht="33.75" customHeight="1">
      <c r="A58" s="455">
        <v>25</v>
      </c>
      <c r="B58" s="481"/>
      <c r="C58" s="13"/>
      <c r="D58" s="273" t="s">
        <v>177</v>
      </c>
      <c r="E58" s="216"/>
      <c r="F58" s="217"/>
      <c r="G58" s="217"/>
      <c r="H58" s="218"/>
      <c r="I58" s="218"/>
      <c r="J58" s="218"/>
      <c r="K58" s="218"/>
      <c r="L58" s="218"/>
      <c r="M58" s="218"/>
      <c r="N58" s="218"/>
      <c r="O58" s="218"/>
      <c r="P58" s="218"/>
      <c r="Q58" s="218"/>
      <c r="R58" s="218"/>
      <c r="S58" s="218"/>
      <c r="T58" s="218"/>
      <c r="U58" s="218"/>
      <c r="V58" s="218"/>
      <c r="W58" s="218"/>
      <c r="X58" s="218"/>
      <c r="Y58" s="218"/>
      <c r="Z58" s="218"/>
      <c r="AA58" s="218"/>
      <c r="AB58" s="196"/>
      <c r="AC58" s="453">
        <f t="shared" ref="AC58" si="20">SUM($E59:$G59)-SUM($I59:$AA59)+$AC56</f>
        <v>0</v>
      </c>
    </row>
    <row r="59" spans="1:29" s="7" customFormat="1" ht="33.75" customHeight="1" thickBot="1">
      <c r="A59" s="459"/>
      <c r="B59" s="482"/>
      <c r="C59" s="15"/>
      <c r="D59" s="274" t="s">
        <v>105</v>
      </c>
      <c r="E59" s="277"/>
      <c r="F59" s="278"/>
      <c r="G59" s="278"/>
      <c r="H59" s="276"/>
      <c r="I59" s="276"/>
      <c r="J59" s="276"/>
      <c r="K59" s="276"/>
      <c r="L59" s="276"/>
      <c r="M59" s="276"/>
      <c r="N59" s="276"/>
      <c r="O59" s="276"/>
      <c r="P59" s="276"/>
      <c r="Q59" s="276"/>
      <c r="R59" s="276"/>
      <c r="S59" s="276"/>
      <c r="T59" s="276"/>
      <c r="U59" s="276"/>
      <c r="V59" s="276"/>
      <c r="W59" s="276"/>
      <c r="X59" s="276"/>
      <c r="Y59" s="276"/>
      <c r="Z59" s="276"/>
      <c r="AA59" s="276"/>
      <c r="AB59" s="197"/>
      <c r="AC59" s="454"/>
    </row>
    <row r="60" spans="1:29" s="7" customFormat="1" ht="33.75" customHeight="1">
      <c r="A60" s="455">
        <v>26</v>
      </c>
      <c r="B60" s="481"/>
      <c r="C60" s="13"/>
      <c r="D60" s="273" t="s">
        <v>177</v>
      </c>
      <c r="E60" s="216"/>
      <c r="F60" s="217"/>
      <c r="G60" s="217"/>
      <c r="H60" s="218"/>
      <c r="I60" s="218"/>
      <c r="J60" s="218"/>
      <c r="K60" s="218"/>
      <c r="L60" s="218"/>
      <c r="M60" s="218"/>
      <c r="N60" s="218"/>
      <c r="O60" s="218"/>
      <c r="P60" s="218"/>
      <c r="Q60" s="218"/>
      <c r="R60" s="218"/>
      <c r="S60" s="218"/>
      <c r="T60" s="218"/>
      <c r="U60" s="218"/>
      <c r="V60" s="218"/>
      <c r="W60" s="218"/>
      <c r="X60" s="218"/>
      <c r="Y60" s="218"/>
      <c r="Z60" s="218"/>
      <c r="AA60" s="218"/>
      <c r="AB60" s="196"/>
      <c r="AC60" s="453">
        <f t="shared" ref="AC60" si="21">SUM($E61:$G61)-SUM($I61:$AA61)+$AC58</f>
        <v>0</v>
      </c>
    </row>
    <row r="61" spans="1:29" s="7" customFormat="1" ht="33.75" customHeight="1" thickBot="1">
      <c r="A61" s="459"/>
      <c r="B61" s="482"/>
      <c r="C61" s="15"/>
      <c r="D61" s="274" t="s">
        <v>105</v>
      </c>
      <c r="E61" s="277"/>
      <c r="F61" s="278"/>
      <c r="G61" s="278"/>
      <c r="H61" s="220"/>
      <c r="I61" s="276"/>
      <c r="J61" s="276"/>
      <c r="K61" s="276"/>
      <c r="L61" s="276"/>
      <c r="M61" s="276"/>
      <c r="N61" s="276"/>
      <c r="O61" s="276"/>
      <c r="P61" s="276"/>
      <c r="Q61" s="276"/>
      <c r="R61" s="276"/>
      <c r="S61" s="276"/>
      <c r="T61" s="276"/>
      <c r="U61" s="276"/>
      <c r="V61" s="276"/>
      <c r="W61" s="276"/>
      <c r="X61" s="276"/>
      <c r="Y61" s="276"/>
      <c r="Z61" s="276"/>
      <c r="AA61" s="276"/>
      <c r="AB61" s="197"/>
      <c r="AC61" s="454"/>
    </row>
    <row r="62" spans="1:29" s="7" customFormat="1" ht="33.75" customHeight="1">
      <c r="A62" s="455">
        <v>27</v>
      </c>
      <c r="B62" s="481"/>
      <c r="C62" s="13"/>
      <c r="D62" s="273" t="s">
        <v>177</v>
      </c>
      <c r="E62" s="216"/>
      <c r="F62" s="217"/>
      <c r="G62" s="217"/>
      <c r="H62" s="218"/>
      <c r="I62" s="218"/>
      <c r="J62" s="218"/>
      <c r="K62" s="218"/>
      <c r="L62" s="218"/>
      <c r="M62" s="218"/>
      <c r="N62" s="218"/>
      <c r="O62" s="218"/>
      <c r="P62" s="218"/>
      <c r="Q62" s="218"/>
      <c r="R62" s="218"/>
      <c r="S62" s="218"/>
      <c r="T62" s="218"/>
      <c r="U62" s="218"/>
      <c r="V62" s="218"/>
      <c r="W62" s="218"/>
      <c r="X62" s="218"/>
      <c r="Y62" s="218"/>
      <c r="Z62" s="218"/>
      <c r="AA62" s="218"/>
      <c r="AB62" s="196"/>
      <c r="AC62" s="453">
        <f t="shared" ref="AC62" si="22">SUM($E63:$G63)-SUM($I63:$AA63)+$AC60</f>
        <v>0</v>
      </c>
    </row>
    <row r="63" spans="1:29" s="7" customFormat="1" ht="33.75" customHeight="1" thickBot="1">
      <c r="A63" s="459"/>
      <c r="B63" s="482"/>
      <c r="C63" s="15"/>
      <c r="D63" s="274" t="s">
        <v>105</v>
      </c>
      <c r="E63" s="277"/>
      <c r="F63" s="278"/>
      <c r="G63" s="278"/>
      <c r="H63" s="276"/>
      <c r="I63" s="276"/>
      <c r="J63" s="276"/>
      <c r="K63" s="276"/>
      <c r="L63" s="276"/>
      <c r="M63" s="276"/>
      <c r="N63" s="276"/>
      <c r="O63" s="276"/>
      <c r="P63" s="276"/>
      <c r="Q63" s="276"/>
      <c r="R63" s="276"/>
      <c r="S63" s="276"/>
      <c r="T63" s="276"/>
      <c r="U63" s="276"/>
      <c r="V63" s="276"/>
      <c r="W63" s="276"/>
      <c r="X63" s="276"/>
      <c r="Y63" s="276"/>
      <c r="Z63" s="276"/>
      <c r="AA63" s="276"/>
      <c r="AB63" s="197"/>
      <c r="AC63" s="454"/>
    </row>
    <row r="64" spans="1:29" s="7" customFormat="1" ht="33.75" customHeight="1">
      <c r="A64" s="455">
        <v>28</v>
      </c>
      <c r="B64" s="481"/>
      <c r="C64" s="13"/>
      <c r="D64" s="273" t="s">
        <v>177</v>
      </c>
      <c r="E64" s="216"/>
      <c r="F64" s="217"/>
      <c r="G64" s="217"/>
      <c r="H64" s="218"/>
      <c r="I64" s="218"/>
      <c r="J64" s="218"/>
      <c r="K64" s="218"/>
      <c r="L64" s="218"/>
      <c r="M64" s="218"/>
      <c r="N64" s="218"/>
      <c r="O64" s="218"/>
      <c r="P64" s="218"/>
      <c r="Q64" s="218"/>
      <c r="R64" s="218"/>
      <c r="S64" s="218"/>
      <c r="T64" s="218"/>
      <c r="U64" s="218"/>
      <c r="V64" s="218"/>
      <c r="W64" s="218"/>
      <c r="X64" s="218"/>
      <c r="Y64" s="218"/>
      <c r="Z64" s="218"/>
      <c r="AA64" s="218"/>
      <c r="AB64" s="196"/>
      <c r="AC64" s="453">
        <f t="shared" ref="AC64" si="23">SUM($E65:$G65)-SUM($I65:$AA65)+$AC62</f>
        <v>0</v>
      </c>
    </row>
    <row r="65" spans="1:29" s="7" customFormat="1" ht="33.75" customHeight="1" thickBot="1">
      <c r="A65" s="459"/>
      <c r="B65" s="482"/>
      <c r="C65" s="15"/>
      <c r="D65" s="274" t="s">
        <v>105</v>
      </c>
      <c r="E65" s="277"/>
      <c r="F65" s="278"/>
      <c r="G65" s="278"/>
      <c r="H65" s="276"/>
      <c r="I65" s="276"/>
      <c r="J65" s="276"/>
      <c r="K65" s="276"/>
      <c r="L65" s="276"/>
      <c r="M65" s="276"/>
      <c r="N65" s="276"/>
      <c r="O65" s="276"/>
      <c r="P65" s="276"/>
      <c r="Q65" s="276"/>
      <c r="R65" s="276"/>
      <c r="S65" s="276"/>
      <c r="T65" s="276"/>
      <c r="U65" s="276"/>
      <c r="V65" s="276"/>
      <c r="W65" s="276"/>
      <c r="X65" s="276"/>
      <c r="Y65" s="276"/>
      <c r="Z65" s="276"/>
      <c r="AA65" s="276"/>
      <c r="AB65" s="197"/>
      <c r="AC65" s="454"/>
    </row>
    <row r="66" spans="1:29" s="7" customFormat="1" ht="33.75" customHeight="1">
      <c r="A66" s="455">
        <v>29</v>
      </c>
      <c r="B66" s="481"/>
      <c r="C66" s="13"/>
      <c r="D66" s="273" t="s">
        <v>177</v>
      </c>
      <c r="E66" s="216"/>
      <c r="F66" s="217"/>
      <c r="G66" s="217"/>
      <c r="H66" s="218"/>
      <c r="I66" s="218"/>
      <c r="J66" s="218"/>
      <c r="K66" s="218"/>
      <c r="L66" s="218"/>
      <c r="M66" s="218"/>
      <c r="N66" s="218"/>
      <c r="O66" s="218"/>
      <c r="P66" s="218"/>
      <c r="Q66" s="218"/>
      <c r="R66" s="218"/>
      <c r="S66" s="218"/>
      <c r="T66" s="218"/>
      <c r="U66" s="218"/>
      <c r="V66" s="218"/>
      <c r="W66" s="218"/>
      <c r="X66" s="218"/>
      <c r="Y66" s="218"/>
      <c r="Z66" s="218"/>
      <c r="AA66" s="218"/>
      <c r="AB66" s="196"/>
      <c r="AC66" s="453">
        <f t="shared" ref="AC66" si="24">SUM($E67:$G67)-SUM($I67:$AA67)+$AC64</f>
        <v>0</v>
      </c>
    </row>
    <row r="67" spans="1:29" s="7" customFormat="1" ht="33.75" customHeight="1" thickBot="1">
      <c r="A67" s="459"/>
      <c r="B67" s="482"/>
      <c r="C67" s="15"/>
      <c r="D67" s="274" t="s">
        <v>105</v>
      </c>
      <c r="E67" s="277"/>
      <c r="F67" s="278"/>
      <c r="G67" s="278"/>
      <c r="H67" s="276"/>
      <c r="I67" s="276"/>
      <c r="J67" s="276"/>
      <c r="K67" s="276"/>
      <c r="L67" s="276"/>
      <c r="M67" s="276"/>
      <c r="N67" s="276"/>
      <c r="O67" s="276"/>
      <c r="P67" s="276"/>
      <c r="Q67" s="276"/>
      <c r="R67" s="276"/>
      <c r="S67" s="276"/>
      <c r="T67" s="276"/>
      <c r="U67" s="276"/>
      <c r="V67" s="276"/>
      <c r="W67" s="276"/>
      <c r="X67" s="276"/>
      <c r="Y67" s="276"/>
      <c r="Z67" s="276"/>
      <c r="AA67" s="276"/>
      <c r="AB67" s="197"/>
      <c r="AC67" s="454"/>
    </row>
    <row r="68" spans="1:29" s="7" customFormat="1" ht="33.75" customHeight="1">
      <c r="A68" s="455">
        <v>30</v>
      </c>
      <c r="B68" s="481"/>
      <c r="C68" s="13"/>
      <c r="D68" s="273" t="s">
        <v>177</v>
      </c>
      <c r="E68" s="216"/>
      <c r="F68" s="217"/>
      <c r="G68" s="217"/>
      <c r="H68" s="218"/>
      <c r="I68" s="218"/>
      <c r="J68" s="218"/>
      <c r="K68" s="218"/>
      <c r="L68" s="218"/>
      <c r="M68" s="218"/>
      <c r="N68" s="218"/>
      <c r="O68" s="218"/>
      <c r="P68" s="218"/>
      <c r="Q68" s="218"/>
      <c r="R68" s="218"/>
      <c r="S68" s="218"/>
      <c r="T68" s="218"/>
      <c r="U68" s="218"/>
      <c r="V68" s="218"/>
      <c r="W68" s="218"/>
      <c r="X68" s="218"/>
      <c r="Y68" s="218"/>
      <c r="Z68" s="218"/>
      <c r="AA68" s="218"/>
      <c r="AB68" s="196"/>
      <c r="AC68" s="453">
        <f t="shared" ref="AC68" si="25">SUM($E69:$G69)-SUM($I69:$AA69)+$AC66</f>
        <v>0</v>
      </c>
    </row>
    <row r="69" spans="1:29" s="7" customFormat="1" ht="33.75" customHeight="1" thickBot="1">
      <c r="A69" s="459"/>
      <c r="B69" s="482"/>
      <c r="C69" s="15"/>
      <c r="D69" s="274" t="s">
        <v>105</v>
      </c>
      <c r="E69" s="277"/>
      <c r="F69" s="278"/>
      <c r="G69" s="278"/>
      <c r="H69" s="276"/>
      <c r="I69" s="276"/>
      <c r="J69" s="276"/>
      <c r="K69" s="276"/>
      <c r="L69" s="276"/>
      <c r="M69" s="276"/>
      <c r="N69" s="276"/>
      <c r="O69" s="276"/>
      <c r="P69" s="276"/>
      <c r="Q69" s="276"/>
      <c r="R69" s="276"/>
      <c r="S69" s="276"/>
      <c r="T69" s="276"/>
      <c r="U69" s="276"/>
      <c r="V69" s="276"/>
      <c r="W69" s="276"/>
      <c r="X69" s="276"/>
      <c r="Y69" s="276"/>
      <c r="Z69" s="276"/>
      <c r="AA69" s="276"/>
      <c r="AB69" s="197"/>
      <c r="AC69" s="454"/>
    </row>
    <row r="70" spans="1:29" ht="46.5" customHeight="1">
      <c r="A70" s="469" t="s">
        <v>331</v>
      </c>
      <c r="B70" s="488"/>
      <c r="C70" s="470"/>
      <c r="D70" s="471"/>
      <c r="E70" s="287">
        <f>SUM(E$10:E$69)</f>
        <v>0</v>
      </c>
      <c r="F70" s="287">
        <f>SUM(F$10:F$69)</f>
        <v>0</v>
      </c>
      <c r="G70" s="287">
        <f>SUM(G$10:G$69)</f>
        <v>0</v>
      </c>
      <c r="H70" s="287">
        <f>SUMIF($D$10:$D$41,$D70,H$10:H$41)</f>
        <v>0</v>
      </c>
      <c r="I70" s="287">
        <f t="shared" ref="I70:AA70" si="26">SUM(I$10:I$69)</f>
        <v>0</v>
      </c>
      <c r="J70" s="287">
        <f t="shared" si="26"/>
        <v>0</v>
      </c>
      <c r="K70" s="287">
        <f t="shared" si="26"/>
        <v>0</v>
      </c>
      <c r="L70" s="287">
        <f t="shared" si="26"/>
        <v>0</v>
      </c>
      <c r="M70" s="287">
        <f t="shared" si="26"/>
        <v>0</v>
      </c>
      <c r="N70" s="287">
        <f t="shared" si="26"/>
        <v>0</v>
      </c>
      <c r="O70" s="287">
        <f t="shared" si="26"/>
        <v>0</v>
      </c>
      <c r="P70" s="287">
        <f t="shared" si="26"/>
        <v>0</v>
      </c>
      <c r="Q70" s="287">
        <f t="shared" si="26"/>
        <v>0</v>
      </c>
      <c r="R70" s="287">
        <f t="shared" si="26"/>
        <v>0</v>
      </c>
      <c r="S70" s="287">
        <f t="shared" si="26"/>
        <v>0</v>
      </c>
      <c r="T70" s="287">
        <f t="shared" si="26"/>
        <v>0</v>
      </c>
      <c r="U70" s="287">
        <f t="shared" si="26"/>
        <v>0</v>
      </c>
      <c r="V70" s="287">
        <f t="shared" si="26"/>
        <v>0</v>
      </c>
      <c r="W70" s="287">
        <f t="shared" si="26"/>
        <v>0</v>
      </c>
      <c r="X70" s="287">
        <f t="shared" si="26"/>
        <v>0</v>
      </c>
      <c r="Y70" s="287">
        <f t="shared" si="26"/>
        <v>0</v>
      </c>
      <c r="Z70" s="287">
        <f t="shared" si="26"/>
        <v>0</v>
      </c>
      <c r="AA70" s="287">
        <f t="shared" si="26"/>
        <v>0</v>
      </c>
      <c r="AB70" s="197">
        <f>SUMIF($D$10:$D$41,$D70,AB$10:AB$41)</f>
        <v>0</v>
      </c>
      <c r="AC70" s="193"/>
    </row>
    <row r="71" spans="1:29" ht="33.75" customHeight="1">
      <c r="B71" s="272" t="s">
        <v>330</v>
      </c>
      <c r="E71" s="288"/>
      <c r="F71" s="288"/>
      <c r="G71" s="288"/>
      <c r="H71" s="288"/>
      <c r="I71" s="288"/>
      <c r="J71" s="288"/>
      <c r="K71" s="288"/>
      <c r="L71" s="288"/>
      <c r="M71" s="288"/>
      <c r="N71" s="288"/>
      <c r="O71" s="288"/>
      <c r="P71" s="288"/>
      <c r="Q71" s="288"/>
      <c r="R71" s="288"/>
      <c r="S71" s="288"/>
      <c r="T71" s="288"/>
      <c r="U71" s="288"/>
      <c r="V71" s="288"/>
      <c r="W71" s="289"/>
      <c r="X71" s="289"/>
      <c r="Y71" s="288"/>
      <c r="Z71" s="288"/>
      <c r="AA71" s="288"/>
    </row>
  </sheetData>
  <sheetProtection sheet="1" objects="1" scenarios="1" selectLockedCells="1"/>
  <mergeCells count="133">
    <mergeCell ref="E5:G5"/>
    <mergeCell ref="I5:AA5"/>
    <mergeCell ref="E6:E7"/>
    <mergeCell ref="F6:F9"/>
    <mergeCell ref="G6:G7"/>
    <mergeCell ref="H6:H9"/>
    <mergeCell ref="A2:A9"/>
    <mergeCell ref="B2:B4"/>
    <mergeCell ref="C2:C4"/>
    <mergeCell ref="D2:G4"/>
    <mergeCell ref="H2:H4"/>
    <mergeCell ref="I2:AA4"/>
    <mergeCell ref="B6:B9"/>
    <mergeCell ref="C6:C9"/>
    <mergeCell ref="D6:D9"/>
    <mergeCell ref="J6:J9"/>
    <mergeCell ref="V6:V9"/>
    <mergeCell ref="K6:K9"/>
    <mergeCell ref="L6:L9"/>
    <mergeCell ref="M6:M9"/>
    <mergeCell ref="N6:N9"/>
    <mergeCell ref="O6:O9"/>
    <mergeCell ref="P6:P9"/>
    <mergeCell ref="R6:R9"/>
    <mergeCell ref="AB2:AB3"/>
    <mergeCell ref="AC2:AC3"/>
    <mergeCell ref="AB4:AB6"/>
    <mergeCell ref="AC4:AC6"/>
    <mergeCell ref="A12:A13"/>
    <mergeCell ref="B12:B13"/>
    <mergeCell ref="AC12:AC13"/>
    <mergeCell ref="A14:A15"/>
    <mergeCell ref="B14:B15"/>
    <mergeCell ref="AC14:AC15"/>
    <mergeCell ref="AB7:AB9"/>
    <mergeCell ref="AC7:AC9"/>
    <mergeCell ref="E8:E9"/>
    <mergeCell ref="G8:G9"/>
    <mergeCell ref="A10:A11"/>
    <mergeCell ref="B10:B11"/>
    <mergeCell ref="AC10:AC11"/>
    <mergeCell ref="W6:W9"/>
    <mergeCell ref="X6:X9"/>
    <mergeCell ref="Y6:Y9"/>
    <mergeCell ref="Z6:Z9"/>
    <mergeCell ref="I7:I8"/>
    <mergeCell ref="AA7:AA8"/>
    <mergeCell ref="Q6:Q9"/>
    <mergeCell ref="S6:S9"/>
    <mergeCell ref="T6:T9"/>
    <mergeCell ref="U6:U9"/>
    <mergeCell ref="A20:A21"/>
    <mergeCell ref="B20:B21"/>
    <mergeCell ref="AC20:AC21"/>
    <mergeCell ref="A22:A23"/>
    <mergeCell ref="B22:B23"/>
    <mergeCell ref="AC22:AC23"/>
    <mergeCell ref="A16:A17"/>
    <mergeCell ref="B16:B17"/>
    <mergeCell ref="AC16:AC17"/>
    <mergeCell ref="A18:A19"/>
    <mergeCell ref="B18:B19"/>
    <mergeCell ref="AC18:AC19"/>
    <mergeCell ref="A28:A29"/>
    <mergeCell ref="B28:B29"/>
    <mergeCell ref="AC28:AC29"/>
    <mergeCell ref="A30:A31"/>
    <mergeCell ref="B30:B31"/>
    <mergeCell ref="AC30:AC31"/>
    <mergeCell ref="A24:A25"/>
    <mergeCell ref="B24:B25"/>
    <mergeCell ref="AC24:AC25"/>
    <mergeCell ref="A26:A27"/>
    <mergeCell ref="B26:B27"/>
    <mergeCell ref="AC26:AC27"/>
    <mergeCell ref="A36:A37"/>
    <mergeCell ref="B36:B37"/>
    <mergeCell ref="AC36:AC37"/>
    <mergeCell ref="A38:A39"/>
    <mergeCell ref="B38:B39"/>
    <mergeCell ref="AC38:AC39"/>
    <mergeCell ref="A32:A33"/>
    <mergeCell ref="B32:B33"/>
    <mergeCell ref="AC32:AC33"/>
    <mergeCell ref="A34:A35"/>
    <mergeCell ref="B34:B35"/>
    <mergeCell ref="AC34:AC35"/>
    <mergeCell ref="A44:A45"/>
    <mergeCell ref="B44:B45"/>
    <mergeCell ref="AC44:AC45"/>
    <mergeCell ref="A46:A47"/>
    <mergeCell ref="B46:B47"/>
    <mergeCell ref="AC46:AC47"/>
    <mergeCell ref="A40:A41"/>
    <mergeCell ref="B40:B41"/>
    <mergeCell ref="AC40:AC41"/>
    <mergeCell ref="A42:A43"/>
    <mergeCell ref="B42:B43"/>
    <mergeCell ref="AC42:AC43"/>
    <mergeCell ref="A52:A53"/>
    <mergeCell ref="B52:B53"/>
    <mergeCell ref="AC52:AC53"/>
    <mergeCell ref="A54:A55"/>
    <mergeCell ref="B54:B55"/>
    <mergeCell ref="AC54:AC55"/>
    <mergeCell ref="A48:A49"/>
    <mergeCell ref="B48:B49"/>
    <mergeCell ref="AC48:AC49"/>
    <mergeCell ref="A50:A51"/>
    <mergeCell ref="B50:B51"/>
    <mergeCell ref="AC50:AC51"/>
    <mergeCell ref="A60:A61"/>
    <mergeCell ref="B60:B61"/>
    <mergeCell ref="AC60:AC61"/>
    <mergeCell ref="A62:A63"/>
    <mergeCell ref="B62:B63"/>
    <mergeCell ref="AC62:AC63"/>
    <mergeCell ref="A56:A57"/>
    <mergeCell ref="B56:B57"/>
    <mergeCell ref="AC56:AC57"/>
    <mergeCell ref="A58:A59"/>
    <mergeCell ref="B58:B59"/>
    <mergeCell ref="AC58:AC59"/>
    <mergeCell ref="A68:A69"/>
    <mergeCell ref="B68:B69"/>
    <mergeCell ref="AC68:AC69"/>
    <mergeCell ref="A70:D70"/>
    <mergeCell ref="A64:A65"/>
    <mergeCell ref="B64:B65"/>
    <mergeCell ref="AC64:AC65"/>
    <mergeCell ref="A66:A67"/>
    <mergeCell ref="B66:B67"/>
    <mergeCell ref="AC66:AC67"/>
  </mergeCells>
  <phoneticPr fontId="1"/>
  <pageMargins left="0.47244094488188981" right="0.31496062992125984" top="0.59055118110236227" bottom="0.19685039370078741" header="0.31496062992125984" footer="0.31496062992125984"/>
  <pageSetup paperSize="9" scale="45" orientation="landscape" r:id="rId1"/>
  <rowBreaks count="1" manualBreakCount="1">
    <brk id="3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C22DE-B2B6-46B5-A0F6-9EC2395A9035}">
  <dimension ref="A1:AC73"/>
  <sheetViews>
    <sheetView zoomScale="50" zoomScaleNormal="50" workbookViewId="0">
      <pane xSplit="4" ySplit="9" topLeftCell="E61" activePane="bottomRight" state="frozen"/>
      <selection activeCell="E10" sqref="E10:AA71"/>
      <selection pane="topRight" activeCell="E10" sqref="E10:AA71"/>
      <selection pane="bottomLeft" activeCell="E10" sqref="E10:AA71"/>
      <selection pane="bottomRight" activeCell="G65" sqref="G65:G67"/>
    </sheetView>
  </sheetViews>
  <sheetFormatPr defaultRowHeight="33.75" customHeight="1"/>
  <cols>
    <col min="1" max="1" width="3.625" customWidth="1"/>
    <col min="2" max="2" width="34.375" customWidth="1"/>
    <col min="3" max="3" width="0.375" customWidth="1"/>
    <col min="4" max="4" width="4.625" customWidth="1"/>
    <col min="5" max="7" width="10" customWidth="1"/>
    <col min="8" max="8" width="0.25" customWidth="1"/>
    <col min="9" max="22" width="10" customWidth="1"/>
    <col min="23" max="24" width="10" style="17" customWidth="1"/>
    <col min="25" max="27" width="10" customWidth="1"/>
    <col min="28" max="28" width="0.25" customWidth="1"/>
    <col min="29" max="29" width="14" customWidth="1"/>
  </cols>
  <sheetData>
    <row r="1" spans="1:29" ht="26.25" customHeight="1" thickBot="1">
      <c r="B1" s="4"/>
    </row>
    <row r="2" spans="1:29" ht="15" customHeight="1">
      <c r="A2" s="377" t="s">
        <v>24</v>
      </c>
      <c r="B2" s="380" t="s">
        <v>337</v>
      </c>
      <c r="C2" s="383"/>
      <c r="D2" s="355" t="s">
        <v>189</v>
      </c>
      <c r="E2" s="356"/>
      <c r="F2" s="356"/>
      <c r="G2" s="356"/>
      <c r="H2" s="386"/>
      <c r="I2" s="355" t="s">
        <v>188</v>
      </c>
      <c r="J2" s="356"/>
      <c r="K2" s="356"/>
      <c r="L2" s="356"/>
      <c r="M2" s="356"/>
      <c r="N2" s="356"/>
      <c r="O2" s="356"/>
      <c r="P2" s="356"/>
      <c r="Q2" s="356"/>
      <c r="R2" s="356"/>
      <c r="S2" s="356"/>
      <c r="T2" s="356"/>
      <c r="U2" s="356"/>
      <c r="V2" s="356"/>
      <c r="W2" s="356"/>
      <c r="X2" s="356"/>
      <c r="Y2" s="356"/>
      <c r="Z2" s="356"/>
      <c r="AA2" s="356"/>
      <c r="AB2" s="424"/>
      <c r="AC2" s="445" t="s">
        <v>265</v>
      </c>
    </row>
    <row r="3" spans="1:29" ht="18.75" customHeight="1">
      <c r="A3" s="378"/>
      <c r="B3" s="381"/>
      <c r="C3" s="384"/>
      <c r="D3" s="358"/>
      <c r="E3" s="359"/>
      <c r="F3" s="359"/>
      <c r="G3" s="359"/>
      <c r="H3" s="387"/>
      <c r="I3" s="358"/>
      <c r="J3" s="359"/>
      <c r="K3" s="359"/>
      <c r="L3" s="359"/>
      <c r="M3" s="359"/>
      <c r="N3" s="359"/>
      <c r="O3" s="359"/>
      <c r="P3" s="359"/>
      <c r="Q3" s="359"/>
      <c r="R3" s="359"/>
      <c r="S3" s="359"/>
      <c r="T3" s="359"/>
      <c r="U3" s="359"/>
      <c r="V3" s="359"/>
      <c r="W3" s="359"/>
      <c r="X3" s="359"/>
      <c r="Y3" s="359"/>
      <c r="Z3" s="359"/>
      <c r="AA3" s="359"/>
      <c r="AB3" s="425"/>
      <c r="AC3" s="446"/>
    </row>
    <row r="4" spans="1:29" ht="11.25" customHeight="1">
      <c r="A4" s="378"/>
      <c r="B4" s="382"/>
      <c r="C4" s="385"/>
      <c r="D4" s="361"/>
      <c r="E4" s="362"/>
      <c r="F4" s="362"/>
      <c r="G4" s="362"/>
      <c r="H4" s="388"/>
      <c r="I4" s="361"/>
      <c r="J4" s="362"/>
      <c r="K4" s="362"/>
      <c r="L4" s="362"/>
      <c r="M4" s="362"/>
      <c r="N4" s="362"/>
      <c r="O4" s="362"/>
      <c r="P4" s="362"/>
      <c r="Q4" s="362"/>
      <c r="R4" s="362"/>
      <c r="S4" s="362"/>
      <c r="T4" s="362"/>
      <c r="U4" s="362"/>
      <c r="V4" s="362"/>
      <c r="W4" s="362"/>
      <c r="X4" s="362"/>
      <c r="Y4" s="362"/>
      <c r="Z4" s="362"/>
      <c r="AA4" s="362"/>
      <c r="AB4" s="434"/>
      <c r="AC4" s="447" t="s">
        <v>49</v>
      </c>
    </row>
    <row r="5" spans="1:29" ht="2.25" customHeight="1">
      <c r="A5" s="378"/>
      <c r="B5" s="38"/>
      <c r="C5" s="3"/>
      <c r="D5" s="204"/>
      <c r="E5" s="397"/>
      <c r="F5" s="398"/>
      <c r="G5" s="398"/>
      <c r="H5" s="3"/>
      <c r="I5" s="397"/>
      <c r="J5" s="398"/>
      <c r="K5" s="398"/>
      <c r="L5" s="398"/>
      <c r="M5" s="398"/>
      <c r="N5" s="398"/>
      <c r="O5" s="398"/>
      <c r="P5" s="398"/>
      <c r="Q5" s="398"/>
      <c r="R5" s="398"/>
      <c r="S5" s="398"/>
      <c r="T5" s="398"/>
      <c r="U5" s="398"/>
      <c r="V5" s="398"/>
      <c r="W5" s="398"/>
      <c r="X5" s="398"/>
      <c r="Y5" s="398"/>
      <c r="Z5" s="398"/>
      <c r="AA5" s="398"/>
      <c r="AB5" s="435"/>
      <c r="AC5" s="448"/>
    </row>
    <row r="6" spans="1:29" s="201" customFormat="1" ht="15" customHeight="1">
      <c r="A6" s="378"/>
      <c r="B6" s="389" t="s">
        <v>51</v>
      </c>
      <c r="C6" s="391"/>
      <c r="D6" s="391"/>
      <c r="E6" s="391" t="s">
        <v>26</v>
      </c>
      <c r="F6" s="391" t="str">
        <f>雑収入</f>
        <v>雑収入</v>
      </c>
      <c r="G6" s="444" t="s">
        <v>27</v>
      </c>
      <c r="H6" s="391"/>
      <c r="I6" s="199" t="s">
        <v>28</v>
      </c>
      <c r="J6" s="391" t="str">
        <f>租税公課</f>
        <v>租税公課</v>
      </c>
      <c r="K6" s="391" t="s">
        <v>101</v>
      </c>
      <c r="L6" s="391" t="s">
        <v>6</v>
      </c>
      <c r="M6" s="364" t="str">
        <f>通信費</f>
        <v>通信費</v>
      </c>
      <c r="N6" s="391" t="s">
        <v>8</v>
      </c>
      <c r="O6" s="391" t="s">
        <v>9</v>
      </c>
      <c r="P6" s="391" t="s">
        <v>10</v>
      </c>
      <c r="Q6" s="364" t="str">
        <f>修繕費</f>
        <v>修繕費</v>
      </c>
      <c r="R6" s="391" t="str">
        <f>消耗品費</f>
        <v>消耗品費</v>
      </c>
      <c r="S6" s="391" t="s">
        <v>97</v>
      </c>
      <c r="T6" s="391" t="str">
        <f>給料賃金</f>
        <v>給料賃金</v>
      </c>
      <c r="U6" s="391" t="str">
        <f>外注工賃</f>
        <v>外注工賃</v>
      </c>
      <c r="V6" s="391" t="s">
        <v>16</v>
      </c>
      <c r="W6" s="364" t="str">
        <f>車両費</f>
        <v>車両費</v>
      </c>
      <c r="X6" s="484" t="str">
        <f>空欄1</f>
        <v>空欄1</v>
      </c>
      <c r="Y6" s="391" t="str">
        <f>空欄2</f>
        <v>空欄2</v>
      </c>
      <c r="Z6" s="391" t="str">
        <f>雑費</f>
        <v>雑費</v>
      </c>
      <c r="AA6" s="200" t="s">
        <v>143</v>
      </c>
      <c r="AB6" s="425"/>
      <c r="AC6" s="446"/>
    </row>
    <row r="7" spans="1:29" s="201" customFormat="1" ht="7.5" customHeight="1">
      <c r="A7" s="378"/>
      <c r="B7" s="387"/>
      <c r="C7" s="392"/>
      <c r="D7" s="392"/>
      <c r="E7" s="392"/>
      <c r="F7" s="392"/>
      <c r="G7" s="426"/>
      <c r="H7" s="392"/>
      <c r="I7" s="366" t="s">
        <v>38</v>
      </c>
      <c r="J7" s="392"/>
      <c r="K7" s="392"/>
      <c r="L7" s="392"/>
      <c r="M7" s="366"/>
      <c r="N7" s="392"/>
      <c r="O7" s="392"/>
      <c r="P7" s="392"/>
      <c r="Q7" s="366"/>
      <c r="R7" s="392"/>
      <c r="S7" s="392"/>
      <c r="T7" s="392"/>
      <c r="U7" s="392"/>
      <c r="V7" s="392"/>
      <c r="W7" s="366"/>
      <c r="X7" s="485"/>
      <c r="Y7" s="392"/>
      <c r="Z7" s="392"/>
      <c r="AA7" s="426" t="s">
        <v>98</v>
      </c>
      <c r="AB7" s="391"/>
      <c r="AC7" s="489">
        <f>繰越・6月</f>
        <v>0</v>
      </c>
    </row>
    <row r="8" spans="1:29" s="201" customFormat="1" ht="7.5" customHeight="1">
      <c r="A8" s="378"/>
      <c r="B8" s="387"/>
      <c r="C8" s="392"/>
      <c r="D8" s="392"/>
      <c r="E8" s="392" t="s">
        <v>36</v>
      </c>
      <c r="F8" s="392"/>
      <c r="G8" s="426" t="s">
        <v>37</v>
      </c>
      <c r="H8" s="392"/>
      <c r="I8" s="366"/>
      <c r="J8" s="392"/>
      <c r="K8" s="392"/>
      <c r="L8" s="392"/>
      <c r="M8" s="366"/>
      <c r="N8" s="392"/>
      <c r="O8" s="392"/>
      <c r="P8" s="392"/>
      <c r="Q8" s="366"/>
      <c r="R8" s="392"/>
      <c r="S8" s="392"/>
      <c r="T8" s="392"/>
      <c r="U8" s="392"/>
      <c r="V8" s="392"/>
      <c r="W8" s="366"/>
      <c r="X8" s="485"/>
      <c r="Y8" s="392"/>
      <c r="Z8" s="392"/>
      <c r="AA8" s="426"/>
      <c r="AB8" s="392"/>
      <c r="AC8" s="490"/>
    </row>
    <row r="9" spans="1:29" s="201" customFormat="1" ht="15" customHeight="1" thickBot="1">
      <c r="A9" s="379"/>
      <c r="B9" s="390"/>
      <c r="C9" s="393"/>
      <c r="D9" s="393"/>
      <c r="E9" s="393"/>
      <c r="F9" s="393"/>
      <c r="G9" s="416"/>
      <c r="H9" s="393"/>
      <c r="I9" s="202" t="s">
        <v>50</v>
      </c>
      <c r="J9" s="393"/>
      <c r="K9" s="393"/>
      <c r="L9" s="393"/>
      <c r="M9" s="368"/>
      <c r="N9" s="393"/>
      <c r="O9" s="393"/>
      <c r="P9" s="393"/>
      <c r="Q9" s="368"/>
      <c r="R9" s="393"/>
      <c r="S9" s="393"/>
      <c r="T9" s="393"/>
      <c r="U9" s="393"/>
      <c r="V9" s="393"/>
      <c r="W9" s="368"/>
      <c r="X9" s="486"/>
      <c r="Y9" s="393"/>
      <c r="Z9" s="393"/>
      <c r="AA9" s="203" t="s">
        <v>231</v>
      </c>
      <c r="AB9" s="392"/>
      <c r="AC9" s="490"/>
    </row>
    <row r="10" spans="1:29" s="7" customFormat="1" ht="33.75" customHeight="1">
      <c r="A10" s="455">
        <v>1</v>
      </c>
      <c r="B10" s="481"/>
      <c r="C10" s="13"/>
      <c r="D10" s="273" t="s">
        <v>177</v>
      </c>
      <c r="E10" s="216"/>
      <c r="F10" s="217"/>
      <c r="G10" s="217"/>
      <c r="H10" s="218"/>
      <c r="I10" s="217"/>
      <c r="J10" s="218"/>
      <c r="K10" s="217"/>
      <c r="L10" s="218"/>
      <c r="M10" s="217"/>
      <c r="N10" s="218"/>
      <c r="O10" s="217"/>
      <c r="P10" s="218"/>
      <c r="Q10" s="217"/>
      <c r="R10" s="218"/>
      <c r="S10" s="217"/>
      <c r="T10" s="218"/>
      <c r="U10" s="217"/>
      <c r="V10" s="217"/>
      <c r="W10" s="217"/>
      <c r="X10" s="219"/>
      <c r="Y10" s="217"/>
      <c r="Z10" s="217"/>
      <c r="AA10" s="217"/>
      <c r="AB10" s="196"/>
      <c r="AC10" s="460">
        <f>SUM($E11:$G11)-SUM($I11:$AA11)+$AC$7</f>
        <v>0</v>
      </c>
    </row>
    <row r="11" spans="1:29" s="7" customFormat="1" ht="33.75" customHeight="1" thickBot="1">
      <c r="A11" s="459"/>
      <c r="B11" s="487"/>
      <c r="C11" s="15"/>
      <c r="D11" s="274" t="s">
        <v>105</v>
      </c>
      <c r="E11" s="277"/>
      <c r="F11" s="278"/>
      <c r="G11" s="278"/>
      <c r="H11" s="276"/>
      <c r="I11" s="278"/>
      <c r="J11" s="276"/>
      <c r="K11" s="278"/>
      <c r="L11" s="276"/>
      <c r="M11" s="278"/>
      <c r="N11" s="276"/>
      <c r="O11" s="278"/>
      <c r="P11" s="276"/>
      <c r="Q11" s="278"/>
      <c r="R11" s="276"/>
      <c r="S11" s="278"/>
      <c r="T11" s="276"/>
      <c r="U11" s="278"/>
      <c r="V11" s="278"/>
      <c r="W11" s="278"/>
      <c r="X11" s="284"/>
      <c r="Y11" s="278"/>
      <c r="Z11" s="278"/>
      <c r="AA11" s="278"/>
      <c r="AB11" s="197"/>
      <c r="AC11" s="454"/>
    </row>
    <row r="12" spans="1:29" s="7" customFormat="1" ht="33.75" customHeight="1">
      <c r="A12" s="449">
        <v>2</v>
      </c>
      <c r="B12" s="483"/>
      <c r="C12" s="13"/>
      <c r="D12" s="273" t="s">
        <v>177</v>
      </c>
      <c r="E12" s="216"/>
      <c r="F12" s="217"/>
      <c r="G12" s="217"/>
      <c r="H12" s="218"/>
      <c r="I12" s="218"/>
      <c r="J12" s="218"/>
      <c r="K12" s="218"/>
      <c r="L12" s="218"/>
      <c r="M12" s="218"/>
      <c r="N12" s="218"/>
      <c r="O12" s="218"/>
      <c r="P12" s="218"/>
      <c r="Q12" s="218"/>
      <c r="R12" s="218"/>
      <c r="S12" s="218"/>
      <c r="T12" s="218"/>
      <c r="U12" s="218"/>
      <c r="V12" s="218"/>
      <c r="W12" s="218"/>
      <c r="X12" s="221"/>
      <c r="Y12" s="218"/>
      <c r="Z12" s="218"/>
      <c r="AA12" s="218"/>
      <c r="AB12" s="196"/>
      <c r="AC12" s="453">
        <f>SUM($E13:$G13)-SUM($I13:$AA13)+$AC10</f>
        <v>0</v>
      </c>
    </row>
    <row r="13" spans="1:29" s="7" customFormat="1" ht="33.75" customHeight="1" thickBot="1">
      <c r="A13" s="450"/>
      <c r="B13" s="482"/>
      <c r="C13" s="15"/>
      <c r="D13" s="274" t="s">
        <v>105</v>
      </c>
      <c r="E13" s="277"/>
      <c r="F13" s="278"/>
      <c r="G13" s="278"/>
      <c r="H13" s="276"/>
      <c r="I13" s="276"/>
      <c r="J13" s="276"/>
      <c r="K13" s="276"/>
      <c r="L13" s="276"/>
      <c r="M13" s="276"/>
      <c r="N13" s="276"/>
      <c r="O13" s="276"/>
      <c r="P13" s="276"/>
      <c r="Q13" s="276"/>
      <c r="R13" s="276"/>
      <c r="S13" s="276"/>
      <c r="T13" s="276"/>
      <c r="U13" s="276"/>
      <c r="V13" s="276"/>
      <c r="W13" s="276"/>
      <c r="X13" s="279"/>
      <c r="Y13" s="276"/>
      <c r="Z13" s="276"/>
      <c r="AA13" s="276"/>
      <c r="AB13" s="197"/>
      <c r="AC13" s="454"/>
    </row>
    <row r="14" spans="1:29" s="7" customFormat="1" ht="33.75" customHeight="1">
      <c r="A14" s="455">
        <v>3</v>
      </c>
      <c r="B14" s="481"/>
      <c r="C14" s="13"/>
      <c r="D14" s="273" t="s">
        <v>177</v>
      </c>
      <c r="E14" s="216"/>
      <c r="F14" s="217"/>
      <c r="G14" s="217"/>
      <c r="H14" s="218"/>
      <c r="I14" s="218"/>
      <c r="J14" s="218"/>
      <c r="K14" s="218"/>
      <c r="L14" s="218"/>
      <c r="M14" s="218"/>
      <c r="N14" s="218"/>
      <c r="O14" s="218"/>
      <c r="P14" s="218"/>
      <c r="Q14" s="218"/>
      <c r="R14" s="218"/>
      <c r="S14" s="218"/>
      <c r="T14" s="218"/>
      <c r="U14" s="218"/>
      <c r="V14" s="218"/>
      <c r="W14" s="218"/>
      <c r="X14" s="221"/>
      <c r="Y14" s="218"/>
      <c r="Z14" s="218"/>
      <c r="AA14" s="218"/>
      <c r="AB14" s="196"/>
      <c r="AC14" s="453">
        <f>SUM($E15:$G15)-SUM($I15:$AA15)+$AC12</f>
        <v>0</v>
      </c>
    </row>
    <row r="15" spans="1:29" s="7" customFormat="1" ht="33.75" customHeight="1" thickBot="1">
      <c r="A15" s="456"/>
      <c r="B15" s="482"/>
      <c r="C15" s="15"/>
      <c r="D15" s="274" t="s">
        <v>105</v>
      </c>
      <c r="E15" s="277"/>
      <c r="F15" s="278"/>
      <c r="G15" s="278"/>
      <c r="H15" s="276"/>
      <c r="I15" s="276"/>
      <c r="J15" s="276"/>
      <c r="K15" s="276"/>
      <c r="L15" s="276"/>
      <c r="M15" s="276"/>
      <c r="N15" s="276"/>
      <c r="O15" s="276"/>
      <c r="P15" s="276"/>
      <c r="Q15" s="276"/>
      <c r="R15" s="276"/>
      <c r="S15" s="276"/>
      <c r="T15" s="276"/>
      <c r="U15" s="276"/>
      <c r="V15" s="276"/>
      <c r="W15" s="276"/>
      <c r="X15" s="279"/>
      <c r="Y15" s="276"/>
      <c r="Z15" s="276"/>
      <c r="AA15" s="276"/>
      <c r="AB15" s="197"/>
      <c r="AC15" s="454"/>
    </row>
    <row r="16" spans="1:29" s="7" customFormat="1" ht="33.75" customHeight="1">
      <c r="A16" s="464">
        <v>4</v>
      </c>
      <c r="B16" s="481"/>
      <c r="C16" s="13"/>
      <c r="D16" s="273" t="s">
        <v>177</v>
      </c>
      <c r="E16" s="216"/>
      <c r="F16" s="217"/>
      <c r="G16" s="217"/>
      <c r="H16" s="218"/>
      <c r="I16" s="218"/>
      <c r="J16" s="218"/>
      <c r="K16" s="218"/>
      <c r="L16" s="218"/>
      <c r="M16" s="218"/>
      <c r="N16" s="218"/>
      <c r="O16" s="218"/>
      <c r="P16" s="218"/>
      <c r="Q16" s="218"/>
      <c r="R16" s="218"/>
      <c r="S16" s="218"/>
      <c r="T16" s="218"/>
      <c r="U16" s="218"/>
      <c r="V16" s="218"/>
      <c r="W16" s="218"/>
      <c r="X16" s="221"/>
      <c r="Y16" s="218"/>
      <c r="Z16" s="218"/>
      <c r="AA16" s="218"/>
      <c r="AB16" s="196"/>
      <c r="AC16" s="453">
        <f t="shared" ref="AC16" si="0">SUM($E17:$G17)-SUM($I17:$AA17)+$AC14</f>
        <v>0</v>
      </c>
    </row>
    <row r="17" spans="1:29" s="7" customFormat="1" ht="33.75" customHeight="1" thickBot="1">
      <c r="A17" s="450"/>
      <c r="B17" s="482"/>
      <c r="C17" s="15"/>
      <c r="D17" s="274" t="s">
        <v>105</v>
      </c>
      <c r="E17" s="277"/>
      <c r="F17" s="278"/>
      <c r="G17" s="278"/>
      <c r="H17" s="276"/>
      <c r="I17" s="276"/>
      <c r="J17" s="276"/>
      <c r="K17" s="276"/>
      <c r="L17" s="276"/>
      <c r="M17" s="276"/>
      <c r="N17" s="276"/>
      <c r="O17" s="276"/>
      <c r="P17" s="276"/>
      <c r="Q17" s="276"/>
      <c r="R17" s="276"/>
      <c r="S17" s="276"/>
      <c r="T17" s="276"/>
      <c r="U17" s="276"/>
      <c r="V17" s="276"/>
      <c r="W17" s="276"/>
      <c r="X17" s="279"/>
      <c r="Y17" s="276"/>
      <c r="Z17" s="276"/>
      <c r="AA17" s="276"/>
      <c r="AB17" s="197"/>
      <c r="AC17" s="454"/>
    </row>
    <row r="18" spans="1:29" s="7" customFormat="1" ht="33.75" customHeight="1">
      <c r="A18" s="455">
        <v>5</v>
      </c>
      <c r="B18" s="481"/>
      <c r="C18" s="13"/>
      <c r="D18" s="273" t="s">
        <v>177</v>
      </c>
      <c r="E18" s="216"/>
      <c r="F18" s="217"/>
      <c r="G18" s="217"/>
      <c r="H18" s="218"/>
      <c r="I18" s="218"/>
      <c r="J18" s="218"/>
      <c r="K18" s="218"/>
      <c r="L18" s="218"/>
      <c r="M18" s="218"/>
      <c r="N18" s="218"/>
      <c r="O18" s="218"/>
      <c r="P18" s="218"/>
      <c r="Q18" s="218"/>
      <c r="R18" s="218"/>
      <c r="S18" s="218"/>
      <c r="T18" s="218"/>
      <c r="U18" s="218"/>
      <c r="V18" s="218"/>
      <c r="W18" s="218"/>
      <c r="X18" s="221"/>
      <c r="Y18" s="218"/>
      <c r="Z18" s="218"/>
      <c r="AA18" s="218"/>
      <c r="AB18" s="196"/>
      <c r="AC18" s="453">
        <f t="shared" ref="AC18" si="1">SUM($E19:$G19)-SUM($I19:$AA19)+$AC16</f>
        <v>0</v>
      </c>
    </row>
    <row r="19" spans="1:29" s="7" customFormat="1" ht="33.75" customHeight="1" thickBot="1">
      <c r="A19" s="456"/>
      <c r="B19" s="482"/>
      <c r="C19" s="15"/>
      <c r="D19" s="274" t="s">
        <v>105</v>
      </c>
      <c r="E19" s="277"/>
      <c r="F19" s="278"/>
      <c r="G19" s="278"/>
      <c r="H19" s="276"/>
      <c r="I19" s="276"/>
      <c r="J19" s="276"/>
      <c r="K19" s="276"/>
      <c r="L19" s="276"/>
      <c r="M19" s="276"/>
      <c r="N19" s="276"/>
      <c r="O19" s="276"/>
      <c r="P19" s="276"/>
      <c r="Q19" s="276"/>
      <c r="R19" s="276"/>
      <c r="S19" s="276"/>
      <c r="T19" s="276"/>
      <c r="U19" s="276"/>
      <c r="V19" s="276"/>
      <c r="W19" s="276"/>
      <c r="X19" s="279"/>
      <c r="Y19" s="276"/>
      <c r="Z19" s="276"/>
      <c r="AA19" s="276"/>
      <c r="AB19" s="197"/>
      <c r="AC19" s="454"/>
    </row>
    <row r="20" spans="1:29" s="7" customFormat="1" ht="33.75" customHeight="1">
      <c r="A20" s="464">
        <v>6</v>
      </c>
      <c r="B20" s="481"/>
      <c r="C20" s="13"/>
      <c r="D20" s="273" t="s">
        <v>177</v>
      </c>
      <c r="E20" s="216"/>
      <c r="F20" s="217"/>
      <c r="G20" s="217"/>
      <c r="H20" s="218"/>
      <c r="I20" s="218"/>
      <c r="J20" s="218"/>
      <c r="K20" s="218"/>
      <c r="L20" s="218"/>
      <c r="M20" s="218"/>
      <c r="N20" s="218"/>
      <c r="O20" s="218"/>
      <c r="P20" s="218"/>
      <c r="Q20" s="218"/>
      <c r="R20" s="218"/>
      <c r="S20" s="218"/>
      <c r="T20" s="218"/>
      <c r="U20" s="218"/>
      <c r="V20" s="218"/>
      <c r="W20" s="218"/>
      <c r="X20" s="221"/>
      <c r="Y20" s="218"/>
      <c r="Z20" s="218"/>
      <c r="AA20" s="218"/>
      <c r="AB20" s="196"/>
      <c r="AC20" s="453">
        <f t="shared" ref="AC20" si="2">SUM($E21:$G21)-SUM($I21:$AA21)+$AC18</f>
        <v>0</v>
      </c>
    </row>
    <row r="21" spans="1:29" s="7" customFormat="1" ht="33.75" customHeight="1" thickBot="1">
      <c r="A21" s="450"/>
      <c r="B21" s="482"/>
      <c r="C21" s="15"/>
      <c r="D21" s="274" t="s">
        <v>105</v>
      </c>
      <c r="E21" s="277"/>
      <c r="F21" s="278"/>
      <c r="G21" s="278"/>
      <c r="H21" s="276"/>
      <c r="I21" s="276"/>
      <c r="J21" s="276"/>
      <c r="K21" s="276"/>
      <c r="L21" s="276"/>
      <c r="M21" s="276"/>
      <c r="N21" s="276"/>
      <c r="O21" s="276"/>
      <c r="P21" s="276"/>
      <c r="Q21" s="276"/>
      <c r="R21" s="276"/>
      <c r="S21" s="276"/>
      <c r="T21" s="276"/>
      <c r="U21" s="276"/>
      <c r="V21" s="276"/>
      <c r="W21" s="276"/>
      <c r="X21" s="279"/>
      <c r="Y21" s="276"/>
      <c r="Z21" s="276"/>
      <c r="AA21" s="276"/>
      <c r="AB21" s="197"/>
      <c r="AC21" s="454"/>
    </row>
    <row r="22" spans="1:29" s="7" customFormat="1" ht="33.75" customHeight="1">
      <c r="A22" s="455">
        <v>7</v>
      </c>
      <c r="B22" s="481"/>
      <c r="C22" s="13"/>
      <c r="D22" s="273" t="s">
        <v>177</v>
      </c>
      <c r="E22" s="216"/>
      <c r="F22" s="217"/>
      <c r="G22" s="217"/>
      <c r="H22" s="218"/>
      <c r="I22" s="218"/>
      <c r="J22" s="218"/>
      <c r="K22" s="218"/>
      <c r="L22" s="218"/>
      <c r="M22" s="218"/>
      <c r="N22" s="218"/>
      <c r="O22" s="218"/>
      <c r="P22" s="218"/>
      <c r="Q22" s="218"/>
      <c r="R22" s="218"/>
      <c r="S22" s="218"/>
      <c r="T22" s="218"/>
      <c r="U22" s="218"/>
      <c r="V22" s="218"/>
      <c r="W22" s="218"/>
      <c r="X22" s="221"/>
      <c r="Y22" s="218"/>
      <c r="Z22" s="218"/>
      <c r="AA22" s="218"/>
      <c r="AB22" s="196"/>
      <c r="AC22" s="453">
        <f t="shared" ref="AC22" si="3">SUM($E23:$G23)-SUM($I23:$AA23)+$AC20</f>
        <v>0</v>
      </c>
    </row>
    <row r="23" spans="1:29" s="7" customFormat="1" ht="33.75" customHeight="1" thickBot="1">
      <c r="A23" s="456"/>
      <c r="B23" s="482"/>
      <c r="C23" s="15"/>
      <c r="D23" s="274" t="s">
        <v>105</v>
      </c>
      <c r="E23" s="277"/>
      <c r="F23" s="278"/>
      <c r="G23" s="278"/>
      <c r="H23" s="276"/>
      <c r="I23" s="276"/>
      <c r="J23" s="276"/>
      <c r="K23" s="276"/>
      <c r="L23" s="276"/>
      <c r="M23" s="276"/>
      <c r="N23" s="276"/>
      <c r="O23" s="276"/>
      <c r="P23" s="276"/>
      <c r="Q23" s="276"/>
      <c r="R23" s="276"/>
      <c r="S23" s="276"/>
      <c r="T23" s="276"/>
      <c r="U23" s="276"/>
      <c r="V23" s="276"/>
      <c r="W23" s="276"/>
      <c r="X23" s="279"/>
      <c r="Y23" s="276"/>
      <c r="Z23" s="276"/>
      <c r="AA23" s="276"/>
      <c r="AB23" s="197"/>
      <c r="AC23" s="454"/>
    </row>
    <row r="24" spans="1:29" s="7" customFormat="1" ht="33.75" customHeight="1">
      <c r="A24" s="464">
        <v>8</v>
      </c>
      <c r="B24" s="481"/>
      <c r="C24" s="13"/>
      <c r="D24" s="273" t="s">
        <v>177</v>
      </c>
      <c r="E24" s="216"/>
      <c r="F24" s="217"/>
      <c r="G24" s="217"/>
      <c r="H24" s="218"/>
      <c r="I24" s="218"/>
      <c r="J24" s="218"/>
      <c r="K24" s="218"/>
      <c r="L24" s="218"/>
      <c r="M24" s="218"/>
      <c r="N24" s="218"/>
      <c r="O24" s="218"/>
      <c r="P24" s="218"/>
      <c r="Q24" s="218"/>
      <c r="R24" s="218"/>
      <c r="S24" s="218"/>
      <c r="T24" s="218"/>
      <c r="U24" s="218"/>
      <c r="V24" s="218"/>
      <c r="W24" s="218"/>
      <c r="X24" s="221"/>
      <c r="Y24" s="218"/>
      <c r="Z24" s="218"/>
      <c r="AA24" s="218"/>
      <c r="AB24" s="196"/>
      <c r="AC24" s="453">
        <f t="shared" ref="AC24" si="4">SUM($E25:$G25)-SUM($I25:$AA25)+$AC22</f>
        <v>0</v>
      </c>
    </row>
    <row r="25" spans="1:29" s="7" customFormat="1" ht="33.75" customHeight="1" thickBot="1">
      <c r="A25" s="450"/>
      <c r="B25" s="482"/>
      <c r="C25" s="15"/>
      <c r="D25" s="274" t="s">
        <v>105</v>
      </c>
      <c r="E25" s="277"/>
      <c r="F25" s="278"/>
      <c r="G25" s="278"/>
      <c r="H25" s="276"/>
      <c r="I25" s="276"/>
      <c r="J25" s="276"/>
      <c r="K25" s="276"/>
      <c r="L25" s="276"/>
      <c r="M25" s="276"/>
      <c r="N25" s="276"/>
      <c r="O25" s="276"/>
      <c r="P25" s="276"/>
      <c r="Q25" s="276"/>
      <c r="R25" s="276"/>
      <c r="S25" s="276"/>
      <c r="T25" s="276"/>
      <c r="U25" s="276"/>
      <c r="V25" s="276"/>
      <c r="W25" s="276"/>
      <c r="X25" s="279"/>
      <c r="Y25" s="276"/>
      <c r="Z25" s="276"/>
      <c r="AA25" s="276"/>
      <c r="AB25" s="197"/>
      <c r="AC25" s="454"/>
    </row>
    <row r="26" spans="1:29" s="7" customFormat="1" ht="33.75" customHeight="1">
      <c r="A26" s="455">
        <v>9</v>
      </c>
      <c r="B26" s="481"/>
      <c r="C26" s="13"/>
      <c r="D26" s="273" t="s">
        <v>177</v>
      </c>
      <c r="E26" s="216"/>
      <c r="F26" s="217"/>
      <c r="G26" s="217"/>
      <c r="H26" s="218"/>
      <c r="I26" s="218"/>
      <c r="J26" s="218"/>
      <c r="K26" s="218"/>
      <c r="L26" s="218"/>
      <c r="M26" s="218"/>
      <c r="N26" s="218"/>
      <c r="O26" s="218"/>
      <c r="P26" s="218"/>
      <c r="Q26" s="218"/>
      <c r="R26" s="218"/>
      <c r="S26" s="218"/>
      <c r="T26" s="218"/>
      <c r="U26" s="218"/>
      <c r="V26" s="218"/>
      <c r="W26" s="218"/>
      <c r="X26" s="221"/>
      <c r="Y26" s="218"/>
      <c r="Z26" s="218"/>
      <c r="AA26" s="218"/>
      <c r="AB26" s="196"/>
      <c r="AC26" s="453">
        <f t="shared" ref="AC26" si="5">SUM($E27:$G27)-SUM($I27:$AA27)+$AC24</f>
        <v>0</v>
      </c>
    </row>
    <row r="27" spans="1:29" s="7" customFormat="1" ht="33.75" customHeight="1" thickBot="1">
      <c r="A27" s="456"/>
      <c r="B27" s="482"/>
      <c r="C27" s="15"/>
      <c r="D27" s="274" t="s">
        <v>105</v>
      </c>
      <c r="E27" s="277"/>
      <c r="F27" s="278"/>
      <c r="G27" s="278"/>
      <c r="H27" s="276"/>
      <c r="I27" s="276"/>
      <c r="J27" s="276"/>
      <c r="K27" s="276"/>
      <c r="L27" s="276"/>
      <c r="M27" s="276"/>
      <c r="N27" s="276"/>
      <c r="O27" s="276"/>
      <c r="P27" s="276"/>
      <c r="Q27" s="276"/>
      <c r="R27" s="276"/>
      <c r="S27" s="276"/>
      <c r="T27" s="276"/>
      <c r="U27" s="276"/>
      <c r="V27" s="276"/>
      <c r="W27" s="276"/>
      <c r="X27" s="279"/>
      <c r="Y27" s="276"/>
      <c r="Z27" s="276"/>
      <c r="AA27" s="276"/>
      <c r="AB27" s="197"/>
      <c r="AC27" s="454"/>
    </row>
    <row r="28" spans="1:29" s="7" customFormat="1" ht="33.75" customHeight="1">
      <c r="A28" s="464">
        <v>10</v>
      </c>
      <c r="B28" s="481"/>
      <c r="C28" s="13"/>
      <c r="D28" s="273" t="s">
        <v>177</v>
      </c>
      <c r="E28" s="216"/>
      <c r="F28" s="217"/>
      <c r="G28" s="217"/>
      <c r="H28" s="218"/>
      <c r="I28" s="218"/>
      <c r="J28" s="218"/>
      <c r="K28" s="218"/>
      <c r="L28" s="218"/>
      <c r="M28" s="218"/>
      <c r="N28" s="218"/>
      <c r="O28" s="218"/>
      <c r="P28" s="218"/>
      <c r="Q28" s="218"/>
      <c r="R28" s="218"/>
      <c r="S28" s="218"/>
      <c r="T28" s="218"/>
      <c r="U28" s="218"/>
      <c r="V28" s="218"/>
      <c r="W28" s="218"/>
      <c r="X28" s="221"/>
      <c r="Y28" s="218"/>
      <c r="Z28" s="218"/>
      <c r="AA28" s="218"/>
      <c r="AB28" s="196"/>
      <c r="AC28" s="453">
        <f t="shared" ref="AC28" si="6">SUM($E29:$G29)-SUM($I29:$AA29)+$AC26</f>
        <v>0</v>
      </c>
    </row>
    <row r="29" spans="1:29" s="7" customFormat="1" ht="33.75" customHeight="1" thickBot="1">
      <c r="A29" s="450"/>
      <c r="B29" s="482"/>
      <c r="C29" s="15"/>
      <c r="D29" s="274" t="s">
        <v>105</v>
      </c>
      <c r="E29" s="277"/>
      <c r="F29" s="278"/>
      <c r="G29" s="278"/>
      <c r="H29" s="276"/>
      <c r="I29" s="276"/>
      <c r="J29" s="276"/>
      <c r="K29" s="276"/>
      <c r="L29" s="276"/>
      <c r="M29" s="276"/>
      <c r="N29" s="276"/>
      <c r="O29" s="276"/>
      <c r="P29" s="276"/>
      <c r="Q29" s="276"/>
      <c r="R29" s="276"/>
      <c r="S29" s="276"/>
      <c r="T29" s="276"/>
      <c r="U29" s="276"/>
      <c r="V29" s="276"/>
      <c r="W29" s="276"/>
      <c r="X29" s="279"/>
      <c r="Y29" s="276"/>
      <c r="Z29" s="276"/>
      <c r="AA29" s="276"/>
      <c r="AB29" s="197"/>
      <c r="AC29" s="454"/>
    </row>
    <row r="30" spans="1:29" s="7" customFormat="1" ht="33.75" customHeight="1">
      <c r="A30" s="455">
        <v>11</v>
      </c>
      <c r="B30" s="481"/>
      <c r="C30" s="13"/>
      <c r="D30" s="273" t="s">
        <v>177</v>
      </c>
      <c r="E30" s="216"/>
      <c r="F30" s="217"/>
      <c r="G30" s="217"/>
      <c r="H30" s="218"/>
      <c r="I30" s="218"/>
      <c r="J30" s="218"/>
      <c r="K30" s="218"/>
      <c r="L30" s="218"/>
      <c r="M30" s="218"/>
      <c r="N30" s="218"/>
      <c r="O30" s="218"/>
      <c r="P30" s="218"/>
      <c r="Q30" s="218"/>
      <c r="R30" s="218"/>
      <c r="S30" s="218"/>
      <c r="T30" s="218"/>
      <c r="U30" s="218"/>
      <c r="V30" s="218"/>
      <c r="W30" s="218"/>
      <c r="X30" s="221"/>
      <c r="Y30" s="218"/>
      <c r="Z30" s="218"/>
      <c r="AA30" s="218"/>
      <c r="AB30" s="196"/>
      <c r="AC30" s="453">
        <f t="shared" ref="AC30" si="7">SUM($E31:$G31)-SUM($I31:$AA31)+$AC28</f>
        <v>0</v>
      </c>
    </row>
    <row r="31" spans="1:29" s="7" customFormat="1" ht="33.75" customHeight="1" thickBot="1">
      <c r="A31" s="456"/>
      <c r="B31" s="482"/>
      <c r="C31" s="15"/>
      <c r="D31" s="274" t="s">
        <v>105</v>
      </c>
      <c r="E31" s="277"/>
      <c r="F31" s="278"/>
      <c r="G31" s="278"/>
      <c r="H31" s="276"/>
      <c r="I31" s="276"/>
      <c r="J31" s="276"/>
      <c r="K31" s="276"/>
      <c r="L31" s="276"/>
      <c r="M31" s="276"/>
      <c r="N31" s="276"/>
      <c r="O31" s="276"/>
      <c r="P31" s="276"/>
      <c r="Q31" s="276"/>
      <c r="R31" s="276"/>
      <c r="S31" s="276"/>
      <c r="T31" s="276"/>
      <c r="U31" s="276"/>
      <c r="V31" s="276"/>
      <c r="W31" s="276"/>
      <c r="X31" s="279"/>
      <c r="Y31" s="276"/>
      <c r="Z31" s="276"/>
      <c r="AA31" s="276"/>
      <c r="AB31" s="197"/>
      <c r="AC31" s="454"/>
    </row>
    <row r="32" spans="1:29" s="7" customFormat="1" ht="33.75" customHeight="1">
      <c r="A32" s="464">
        <v>12</v>
      </c>
      <c r="B32" s="481"/>
      <c r="C32" s="13"/>
      <c r="D32" s="273" t="s">
        <v>177</v>
      </c>
      <c r="E32" s="216"/>
      <c r="F32" s="217"/>
      <c r="G32" s="217"/>
      <c r="H32" s="218"/>
      <c r="I32" s="218"/>
      <c r="J32" s="218"/>
      <c r="K32" s="218"/>
      <c r="L32" s="218"/>
      <c r="M32" s="218"/>
      <c r="N32" s="218"/>
      <c r="O32" s="218"/>
      <c r="P32" s="218"/>
      <c r="Q32" s="218"/>
      <c r="R32" s="218"/>
      <c r="S32" s="218"/>
      <c r="T32" s="218"/>
      <c r="U32" s="218"/>
      <c r="V32" s="218"/>
      <c r="W32" s="218"/>
      <c r="X32" s="221"/>
      <c r="Y32" s="218"/>
      <c r="Z32" s="218"/>
      <c r="AA32" s="218"/>
      <c r="AB32" s="196"/>
      <c r="AC32" s="453">
        <f t="shared" ref="AC32" si="8">SUM($E33:$G33)-SUM($I33:$AA33)+$AC30</f>
        <v>0</v>
      </c>
    </row>
    <row r="33" spans="1:29" s="7" customFormat="1" ht="33.75" customHeight="1" thickBot="1">
      <c r="A33" s="450"/>
      <c r="B33" s="482"/>
      <c r="C33" s="15"/>
      <c r="D33" s="274" t="s">
        <v>105</v>
      </c>
      <c r="E33" s="277"/>
      <c r="F33" s="278"/>
      <c r="G33" s="278"/>
      <c r="H33" s="276"/>
      <c r="I33" s="276"/>
      <c r="J33" s="276"/>
      <c r="K33" s="276"/>
      <c r="L33" s="276"/>
      <c r="M33" s="276"/>
      <c r="N33" s="276"/>
      <c r="O33" s="276"/>
      <c r="P33" s="276"/>
      <c r="Q33" s="276"/>
      <c r="R33" s="276"/>
      <c r="S33" s="276"/>
      <c r="T33" s="276"/>
      <c r="U33" s="276"/>
      <c r="V33" s="276"/>
      <c r="W33" s="276"/>
      <c r="X33" s="279"/>
      <c r="Y33" s="276"/>
      <c r="Z33" s="276"/>
      <c r="AA33" s="276"/>
      <c r="AB33" s="197"/>
      <c r="AC33" s="454"/>
    </row>
    <row r="34" spans="1:29" s="7" customFormat="1" ht="33.75" customHeight="1">
      <c r="A34" s="455">
        <v>13</v>
      </c>
      <c r="B34" s="481"/>
      <c r="C34" s="13"/>
      <c r="D34" s="273" t="s">
        <v>177</v>
      </c>
      <c r="E34" s="216"/>
      <c r="F34" s="217"/>
      <c r="G34" s="217"/>
      <c r="H34" s="218"/>
      <c r="I34" s="218"/>
      <c r="J34" s="218"/>
      <c r="K34" s="218"/>
      <c r="L34" s="218"/>
      <c r="M34" s="218"/>
      <c r="N34" s="218"/>
      <c r="O34" s="218"/>
      <c r="P34" s="218"/>
      <c r="Q34" s="218"/>
      <c r="R34" s="218"/>
      <c r="S34" s="218"/>
      <c r="T34" s="218"/>
      <c r="U34" s="218"/>
      <c r="V34" s="218"/>
      <c r="W34" s="218"/>
      <c r="X34" s="221"/>
      <c r="Y34" s="218"/>
      <c r="Z34" s="218"/>
      <c r="AA34" s="218"/>
      <c r="AB34" s="196"/>
      <c r="AC34" s="453">
        <f>SUM($E35:$G35)-SUM($I35:$AA35)+$AC32</f>
        <v>0</v>
      </c>
    </row>
    <row r="35" spans="1:29" s="7" customFormat="1" ht="33.75" customHeight="1" thickBot="1">
      <c r="A35" s="456"/>
      <c r="B35" s="482"/>
      <c r="C35" s="15"/>
      <c r="D35" s="274" t="s">
        <v>105</v>
      </c>
      <c r="E35" s="277"/>
      <c r="F35" s="278"/>
      <c r="G35" s="278"/>
      <c r="H35" s="276"/>
      <c r="I35" s="276"/>
      <c r="J35" s="276"/>
      <c r="K35" s="276"/>
      <c r="L35" s="276"/>
      <c r="M35" s="276"/>
      <c r="N35" s="276"/>
      <c r="O35" s="276"/>
      <c r="P35" s="276"/>
      <c r="Q35" s="276"/>
      <c r="R35" s="276"/>
      <c r="S35" s="276"/>
      <c r="T35" s="276"/>
      <c r="U35" s="276"/>
      <c r="V35" s="276"/>
      <c r="W35" s="276"/>
      <c r="X35" s="279"/>
      <c r="Y35" s="276"/>
      <c r="Z35" s="276"/>
      <c r="AA35" s="276"/>
      <c r="AB35" s="197"/>
      <c r="AC35" s="454"/>
    </row>
    <row r="36" spans="1:29" s="7" customFormat="1" ht="33.75" customHeight="1">
      <c r="A36" s="464">
        <v>14</v>
      </c>
      <c r="B36" s="481"/>
      <c r="C36" s="13"/>
      <c r="D36" s="273" t="s">
        <v>177</v>
      </c>
      <c r="E36" s="216"/>
      <c r="F36" s="217"/>
      <c r="G36" s="217"/>
      <c r="H36" s="218"/>
      <c r="I36" s="218"/>
      <c r="J36" s="218"/>
      <c r="K36" s="218"/>
      <c r="L36" s="218"/>
      <c r="M36" s="218"/>
      <c r="N36" s="218"/>
      <c r="O36" s="218"/>
      <c r="P36" s="218"/>
      <c r="Q36" s="218"/>
      <c r="R36" s="218"/>
      <c r="S36" s="218"/>
      <c r="T36" s="218"/>
      <c r="U36" s="218"/>
      <c r="V36" s="218"/>
      <c r="W36" s="218"/>
      <c r="X36" s="221"/>
      <c r="Y36" s="218"/>
      <c r="Z36" s="218"/>
      <c r="AA36" s="218"/>
      <c r="AB36" s="196"/>
      <c r="AC36" s="453">
        <f t="shared" ref="AC36" si="9">SUM($E37:$G37)-SUM($I37:$AA37)+$AC34</f>
        <v>0</v>
      </c>
    </row>
    <row r="37" spans="1:29" s="7" customFormat="1" ht="33.75" customHeight="1" thickBot="1">
      <c r="A37" s="449"/>
      <c r="B37" s="483"/>
      <c r="C37" s="15"/>
      <c r="D37" s="199" t="s">
        <v>105</v>
      </c>
      <c r="E37" s="280"/>
      <c r="F37" s="281"/>
      <c r="G37" s="281"/>
      <c r="H37" s="282"/>
      <c r="I37" s="282"/>
      <c r="J37" s="282"/>
      <c r="K37" s="282"/>
      <c r="L37" s="282"/>
      <c r="M37" s="282"/>
      <c r="N37" s="282"/>
      <c r="O37" s="282"/>
      <c r="P37" s="282"/>
      <c r="Q37" s="282"/>
      <c r="R37" s="282"/>
      <c r="S37" s="282"/>
      <c r="T37" s="282"/>
      <c r="U37" s="282"/>
      <c r="V37" s="282"/>
      <c r="W37" s="282"/>
      <c r="X37" s="283"/>
      <c r="Y37" s="282"/>
      <c r="Z37" s="282"/>
      <c r="AA37" s="282"/>
      <c r="AB37" s="194"/>
      <c r="AC37" s="465"/>
    </row>
    <row r="38" spans="1:29" s="7" customFormat="1" ht="33.75" customHeight="1">
      <c r="A38" s="455">
        <v>15</v>
      </c>
      <c r="B38" s="479"/>
      <c r="C38" s="13"/>
      <c r="D38" s="273" t="s">
        <v>177</v>
      </c>
      <c r="E38" s="216"/>
      <c r="F38" s="217"/>
      <c r="G38" s="217"/>
      <c r="H38" s="218"/>
      <c r="I38" s="218"/>
      <c r="J38" s="218"/>
      <c r="K38" s="218"/>
      <c r="L38" s="218"/>
      <c r="M38" s="218"/>
      <c r="N38" s="218"/>
      <c r="O38" s="218"/>
      <c r="P38" s="218"/>
      <c r="Q38" s="218"/>
      <c r="R38" s="218"/>
      <c r="S38" s="218"/>
      <c r="T38" s="218"/>
      <c r="U38" s="218"/>
      <c r="V38" s="218"/>
      <c r="W38" s="218"/>
      <c r="X38" s="221"/>
      <c r="Y38" s="218"/>
      <c r="Z38" s="218"/>
      <c r="AA38" s="218"/>
      <c r="AB38" s="190"/>
      <c r="AC38" s="453">
        <f t="shared" ref="AC38" si="10">SUM($E39:$G39)-SUM($I39:$AA39)+$AC36</f>
        <v>0</v>
      </c>
    </row>
    <row r="39" spans="1:29" s="7" customFormat="1" ht="33.75" customHeight="1" thickBot="1">
      <c r="A39" s="459"/>
      <c r="B39" s="480"/>
      <c r="C39" s="15"/>
      <c r="D39" s="274" t="s">
        <v>105</v>
      </c>
      <c r="E39" s="277"/>
      <c r="F39" s="278"/>
      <c r="G39" s="278"/>
      <c r="H39" s="276"/>
      <c r="I39" s="276"/>
      <c r="J39" s="276"/>
      <c r="K39" s="276"/>
      <c r="L39" s="276"/>
      <c r="M39" s="276"/>
      <c r="N39" s="276"/>
      <c r="O39" s="276"/>
      <c r="P39" s="276"/>
      <c r="Q39" s="276"/>
      <c r="R39" s="276"/>
      <c r="S39" s="276"/>
      <c r="T39" s="276"/>
      <c r="U39" s="276"/>
      <c r="V39" s="276"/>
      <c r="W39" s="276"/>
      <c r="X39" s="279"/>
      <c r="Y39" s="276"/>
      <c r="Z39" s="276"/>
      <c r="AA39" s="276"/>
      <c r="AB39" s="191"/>
      <c r="AC39" s="454"/>
    </row>
    <row r="40" spans="1:29" s="7" customFormat="1" ht="33.75" customHeight="1">
      <c r="A40" s="466">
        <v>16</v>
      </c>
      <c r="B40" s="479"/>
      <c r="C40" s="13"/>
      <c r="D40" s="273" t="s">
        <v>177</v>
      </c>
      <c r="E40" s="216"/>
      <c r="F40" s="217"/>
      <c r="G40" s="217"/>
      <c r="H40" s="218"/>
      <c r="I40" s="218"/>
      <c r="J40" s="218"/>
      <c r="K40" s="218"/>
      <c r="L40" s="218"/>
      <c r="M40" s="218"/>
      <c r="N40" s="218"/>
      <c r="O40" s="218"/>
      <c r="P40" s="218"/>
      <c r="Q40" s="218"/>
      <c r="R40" s="218"/>
      <c r="S40" s="218"/>
      <c r="T40" s="218"/>
      <c r="U40" s="218"/>
      <c r="V40" s="218"/>
      <c r="W40" s="218"/>
      <c r="X40" s="221"/>
      <c r="Y40" s="218"/>
      <c r="Z40" s="218"/>
      <c r="AA40" s="218"/>
      <c r="AB40" s="190"/>
      <c r="AC40" s="453">
        <f t="shared" ref="AC40" si="11">SUM($E41:$G41)-SUM($I41:$AA41)+$AC38</f>
        <v>0</v>
      </c>
    </row>
    <row r="41" spans="1:29" s="7" customFormat="1" ht="33.75" customHeight="1" thickBot="1">
      <c r="A41" s="467"/>
      <c r="B41" s="480"/>
      <c r="C41" s="15"/>
      <c r="D41" s="274" t="s">
        <v>105</v>
      </c>
      <c r="E41" s="277"/>
      <c r="F41" s="278"/>
      <c r="G41" s="278"/>
      <c r="H41" s="276"/>
      <c r="I41" s="276"/>
      <c r="J41" s="276"/>
      <c r="K41" s="276"/>
      <c r="L41" s="276"/>
      <c r="M41" s="276"/>
      <c r="N41" s="276"/>
      <c r="O41" s="276"/>
      <c r="P41" s="276"/>
      <c r="Q41" s="276"/>
      <c r="R41" s="276"/>
      <c r="S41" s="276"/>
      <c r="T41" s="276"/>
      <c r="U41" s="276"/>
      <c r="V41" s="276"/>
      <c r="W41" s="276"/>
      <c r="X41" s="279"/>
      <c r="Y41" s="276"/>
      <c r="Z41" s="276"/>
      <c r="AA41" s="276"/>
      <c r="AB41" s="191"/>
      <c r="AC41" s="454"/>
    </row>
    <row r="42" spans="1:29" s="7" customFormat="1" ht="33.75" customHeight="1">
      <c r="A42" s="468">
        <v>17</v>
      </c>
      <c r="B42" s="483"/>
      <c r="C42" s="13"/>
      <c r="D42" s="275" t="s">
        <v>177</v>
      </c>
      <c r="E42" s="222"/>
      <c r="F42" s="223"/>
      <c r="G42" s="223"/>
      <c r="H42" s="224"/>
      <c r="I42" s="224"/>
      <c r="J42" s="224"/>
      <c r="K42" s="224"/>
      <c r="L42" s="224"/>
      <c r="M42" s="224"/>
      <c r="N42" s="224"/>
      <c r="O42" s="224"/>
      <c r="P42" s="224"/>
      <c r="Q42" s="224"/>
      <c r="R42" s="224"/>
      <c r="S42" s="224"/>
      <c r="T42" s="224"/>
      <c r="U42" s="224"/>
      <c r="V42" s="224"/>
      <c r="W42" s="224"/>
      <c r="X42" s="224"/>
      <c r="Y42" s="224"/>
      <c r="Z42" s="224"/>
      <c r="AA42" s="224"/>
      <c r="AB42" s="195"/>
      <c r="AC42" s="453">
        <f t="shared" ref="AC42" si="12">SUM($E43:$G43)-SUM($I43:$AA43)+$AC40</f>
        <v>0</v>
      </c>
    </row>
    <row r="43" spans="1:29" s="7" customFormat="1" ht="33.75" customHeight="1" thickBot="1">
      <c r="A43" s="459"/>
      <c r="B43" s="482"/>
      <c r="C43" s="15"/>
      <c r="D43" s="274" t="s">
        <v>105</v>
      </c>
      <c r="E43" s="277"/>
      <c r="F43" s="278"/>
      <c r="G43" s="278"/>
      <c r="H43" s="276"/>
      <c r="I43" s="276"/>
      <c r="J43" s="276"/>
      <c r="K43" s="276"/>
      <c r="L43" s="276"/>
      <c r="M43" s="276"/>
      <c r="N43" s="276"/>
      <c r="O43" s="276"/>
      <c r="P43" s="276"/>
      <c r="Q43" s="276"/>
      <c r="R43" s="276"/>
      <c r="S43" s="276"/>
      <c r="T43" s="276"/>
      <c r="U43" s="276"/>
      <c r="V43" s="276"/>
      <c r="W43" s="276"/>
      <c r="X43" s="276"/>
      <c r="Y43" s="276"/>
      <c r="Z43" s="276"/>
      <c r="AA43" s="276"/>
      <c r="AB43" s="197"/>
      <c r="AC43" s="454"/>
    </row>
    <row r="44" spans="1:29" s="7" customFormat="1" ht="33.75" customHeight="1">
      <c r="A44" s="455">
        <v>18</v>
      </c>
      <c r="B44" s="481"/>
      <c r="C44" s="13"/>
      <c r="D44" s="273" t="s">
        <v>177</v>
      </c>
      <c r="E44" s="216"/>
      <c r="F44" s="217"/>
      <c r="G44" s="217"/>
      <c r="H44" s="218"/>
      <c r="I44" s="218"/>
      <c r="J44" s="218"/>
      <c r="K44" s="218"/>
      <c r="L44" s="218"/>
      <c r="M44" s="218"/>
      <c r="N44" s="218"/>
      <c r="O44" s="218"/>
      <c r="P44" s="218"/>
      <c r="Q44" s="218"/>
      <c r="R44" s="218"/>
      <c r="S44" s="218"/>
      <c r="T44" s="218"/>
      <c r="U44" s="218"/>
      <c r="V44" s="218"/>
      <c r="W44" s="218"/>
      <c r="X44" s="218"/>
      <c r="Y44" s="218"/>
      <c r="Z44" s="218"/>
      <c r="AA44" s="218"/>
      <c r="AB44" s="196"/>
      <c r="AC44" s="453">
        <f t="shared" ref="AC44" si="13">SUM($E45:$G45)-SUM($I45:$AA45)+$AC42</f>
        <v>0</v>
      </c>
    </row>
    <row r="45" spans="1:29" s="7" customFormat="1" ht="33.75" customHeight="1" thickBot="1">
      <c r="A45" s="459"/>
      <c r="B45" s="482"/>
      <c r="C45" s="15"/>
      <c r="D45" s="274" t="s">
        <v>105</v>
      </c>
      <c r="E45" s="277"/>
      <c r="F45" s="278"/>
      <c r="G45" s="278"/>
      <c r="H45" s="276"/>
      <c r="I45" s="276"/>
      <c r="J45" s="276"/>
      <c r="K45" s="276"/>
      <c r="L45" s="276"/>
      <c r="M45" s="276"/>
      <c r="N45" s="276"/>
      <c r="O45" s="276"/>
      <c r="P45" s="276"/>
      <c r="Q45" s="276"/>
      <c r="R45" s="276"/>
      <c r="S45" s="276"/>
      <c r="T45" s="276"/>
      <c r="U45" s="276"/>
      <c r="V45" s="276"/>
      <c r="W45" s="276"/>
      <c r="X45" s="276"/>
      <c r="Y45" s="276"/>
      <c r="Z45" s="276"/>
      <c r="AA45" s="276"/>
      <c r="AB45" s="197"/>
      <c r="AC45" s="454"/>
    </row>
    <row r="46" spans="1:29" s="7" customFormat="1" ht="33.75" customHeight="1">
      <c r="A46" s="455">
        <v>19</v>
      </c>
      <c r="B46" s="481"/>
      <c r="C46" s="13"/>
      <c r="D46" s="273" t="s">
        <v>177</v>
      </c>
      <c r="E46" s="216"/>
      <c r="F46" s="217"/>
      <c r="G46" s="217"/>
      <c r="H46" s="218"/>
      <c r="I46" s="218"/>
      <c r="J46" s="218"/>
      <c r="K46" s="218"/>
      <c r="L46" s="218"/>
      <c r="M46" s="218"/>
      <c r="N46" s="218"/>
      <c r="O46" s="218"/>
      <c r="P46" s="218"/>
      <c r="Q46" s="218"/>
      <c r="R46" s="218"/>
      <c r="S46" s="218"/>
      <c r="T46" s="218"/>
      <c r="U46" s="218"/>
      <c r="V46" s="218"/>
      <c r="W46" s="218"/>
      <c r="X46" s="218"/>
      <c r="Y46" s="218"/>
      <c r="Z46" s="218"/>
      <c r="AA46" s="218"/>
      <c r="AB46" s="196"/>
      <c r="AC46" s="453">
        <f t="shared" ref="AC46" si="14">SUM($E47:$G47)-SUM($I47:$AA47)+$AC44</f>
        <v>0</v>
      </c>
    </row>
    <row r="47" spans="1:29" s="7" customFormat="1" ht="33.75" customHeight="1" thickBot="1">
      <c r="A47" s="459"/>
      <c r="B47" s="482"/>
      <c r="C47" s="15"/>
      <c r="D47" s="274" t="s">
        <v>105</v>
      </c>
      <c r="E47" s="277"/>
      <c r="F47" s="278"/>
      <c r="G47" s="278"/>
      <c r="H47" s="276"/>
      <c r="I47" s="276"/>
      <c r="J47" s="276"/>
      <c r="K47" s="276"/>
      <c r="L47" s="276"/>
      <c r="M47" s="276"/>
      <c r="N47" s="276"/>
      <c r="O47" s="276"/>
      <c r="P47" s="276"/>
      <c r="Q47" s="276"/>
      <c r="R47" s="276"/>
      <c r="S47" s="276"/>
      <c r="T47" s="276"/>
      <c r="U47" s="276"/>
      <c r="V47" s="276"/>
      <c r="W47" s="276"/>
      <c r="X47" s="276"/>
      <c r="Y47" s="276"/>
      <c r="Z47" s="276"/>
      <c r="AA47" s="276"/>
      <c r="AB47" s="197"/>
      <c r="AC47" s="454"/>
    </row>
    <row r="48" spans="1:29" s="7" customFormat="1" ht="33.75" customHeight="1">
      <c r="A48" s="455">
        <v>20</v>
      </c>
      <c r="B48" s="481"/>
      <c r="C48" s="13"/>
      <c r="D48" s="273" t="s">
        <v>177</v>
      </c>
      <c r="E48" s="216"/>
      <c r="F48" s="217"/>
      <c r="G48" s="217"/>
      <c r="H48" s="218"/>
      <c r="I48" s="218"/>
      <c r="J48" s="218"/>
      <c r="K48" s="218"/>
      <c r="L48" s="218"/>
      <c r="M48" s="218"/>
      <c r="N48" s="218"/>
      <c r="O48" s="218"/>
      <c r="P48" s="218"/>
      <c r="Q48" s="218"/>
      <c r="R48" s="218"/>
      <c r="S48" s="218"/>
      <c r="T48" s="218"/>
      <c r="U48" s="218"/>
      <c r="V48" s="218"/>
      <c r="W48" s="218"/>
      <c r="X48" s="218"/>
      <c r="Y48" s="218"/>
      <c r="Z48" s="218"/>
      <c r="AA48" s="218"/>
      <c r="AB48" s="196"/>
      <c r="AC48" s="453">
        <f t="shared" ref="AC48" si="15">SUM($E49:$G49)-SUM($I49:$AA49)+$AC46</f>
        <v>0</v>
      </c>
    </row>
    <row r="49" spans="1:29" s="7" customFormat="1" ht="33.75" customHeight="1" thickBot="1">
      <c r="A49" s="459"/>
      <c r="B49" s="482"/>
      <c r="C49" s="15"/>
      <c r="D49" s="274" t="s">
        <v>105</v>
      </c>
      <c r="E49" s="277"/>
      <c r="F49" s="278"/>
      <c r="G49" s="278"/>
      <c r="H49" s="276"/>
      <c r="I49" s="276"/>
      <c r="J49" s="276"/>
      <c r="K49" s="276"/>
      <c r="L49" s="276"/>
      <c r="M49" s="276"/>
      <c r="N49" s="276"/>
      <c r="O49" s="276"/>
      <c r="P49" s="276"/>
      <c r="Q49" s="276"/>
      <c r="R49" s="276"/>
      <c r="S49" s="276"/>
      <c r="T49" s="276"/>
      <c r="U49" s="276"/>
      <c r="V49" s="276"/>
      <c r="W49" s="276"/>
      <c r="X49" s="276"/>
      <c r="Y49" s="276"/>
      <c r="Z49" s="276"/>
      <c r="AA49" s="276"/>
      <c r="AB49" s="197"/>
      <c r="AC49" s="454"/>
    </row>
    <row r="50" spans="1:29" s="7" customFormat="1" ht="33.75" customHeight="1">
      <c r="A50" s="455">
        <v>21</v>
      </c>
      <c r="B50" s="481"/>
      <c r="C50" s="13"/>
      <c r="D50" s="273" t="s">
        <v>177</v>
      </c>
      <c r="E50" s="216"/>
      <c r="F50" s="217"/>
      <c r="G50" s="217"/>
      <c r="H50" s="218"/>
      <c r="I50" s="218"/>
      <c r="J50" s="218"/>
      <c r="K50" s="218"/>
      <c r="L50" s="218"/>
      <c r="M50" s="218"/>
      <c r="N50" s="218"/>
      <c r="O50" s="218"/>
      <c r="P50" s="218"/>
      <c r="Q50" s="218"/>
      <c r="R50" s="218"/>
      <c r="S50" s="218"/>
      <c r="T50" s="218"/>
      <c r="U50" s="218"/>
      <c r="V50" s="218"/>
      <c r="W50" s="218"/>
      <c r="X50" s="218"/>
      <c r="Y50" s="218"/>
      <c r="Z50" s="218"/>
      <c r="AA50" s="218"/>
      <c r="AB50" s="196"/>
      <c r="AC50" s="453">
        <f t="shared" ref="AC50" si="16">SUM($E51:$G51)-SUM($I51:$AA51)+$AC48</f>
        <v>0</v>
      </c>
    </row>
    <row r="51" spans="1:29" s="7" customFormat="1" ht="33.75" customHeight="1" thickBot="1">
      <c r="A51" s="459"/>
      <c r="B51" s="482"/>
      <c r="C51" s="15"/>
      <c r="D51" s="274" t="s">
        <v>105</v>
      </c>
      <c r="E51" s="277"/>
      <c r="F51" s="278"/>
      <c r="G51" s="278"/>
      <c r="H51" s="276"/>
      <c r="I51" s="276"/>
      <c r="J51" s="276"/>
      <c r="K51" s="276"/>
      <c r="L51" s="276"/>
      <c r="M51" s="276"/>
      <c r="N51" s="276"/>
      <c r="O51" s="276"/>
      <c r="P51" s="276"/>
      <c r="Q51" s="276"/>
      <c r="R51" s="276"/>
      <c r="S51" s="276"/>
      <c r="T51" s="276"/>
      <c r="U51" s="276"/>
      <c r="V51" s="276"/>
      <c r="W51" s="276"/>
      <c r="X51" s="276"/>
      <c r="Y51" s="276"/>
      <c r="Z51" s="276"/>
      <c r="AA51" s="276"/>
      <c r="AB51" s="197"/>
      <c r="AC51" s="454"/>
    </row>
    <row r="52" spans="1:29" s="7" customFormat="1" ht="33.75" customHeight="1">
      <c r="A52" s="455">
        <v>22</v>
      </c>
      <c r="B52" s="481"/>
      <c r="C52" s="13"/>
      <c r="D52" s="273" t="s">
        <v>177</v>
      </c>
      <c r="E52" s="216"/>
      <c r="F52" s="217"/>
      <c r="G52" s="217"/>
      <c r="H52" s="218"/>
      <c r="I52" s="218"/>
      <c r="J52" s="218"/>
      <c r="K52" s="218"/>
      <c r="L52" s="218"/>
      <c r="M52" s="218"/>
      <c r="N52" s="218"/>
      <c r="O52" s="218"/>
      <c r="P52" s="218"/>
      <c r="Q52" s="218"/>
      <c r="R52" s="218"/>
      <c r="S52" s="218"/>
      <c r="T52" s="218"/>
      <c r="U52" s="218"/>
      <c r="V52" s="218"/>
      <c r="W52" s="218"/>
      <c r="X52" s="218"/>
      <c r="Y52" s="218"/>
      <c r="Z52" s="218"/>
      <c r="AA52" s="218"/>
      <c r="AB52" s="196"/>
      <c r="AC52" s="453">
        <f t="shared" ref="AC52" si="17">SUM($E53:$G53)-SUM($I53:$AA53)+$AC50</f>
        <v>0</v>
      </c>
    </row>
    <row r="53" spans="1:29" s="7" customFormat="1" ht="33.75" customHeight="1" thickBot="1">
      <c r="A53" s="459"/>
      <c r="B53" s="482"/>
      <c r="C53" s="15"/>
      <c r="D53" s="274" t="s">
        <v>105</v>
      </c>
      <c r="E53" s="277"/>
      <c r="F53" s="278"/>
      <c r="G53" s="278"/>
      <c r="H53" s="276"/>
      <c r="I53" s="276"/>
      <c r="J53" s="276"/>
      <c r="K53" s="276"/>
      <c r="L53" s="276"/>
      <c r="M53" s="276"/>
      <c r="N53" s="276"/>
      <c r="O53" s="276"/>
      <c r="P53" s="276"/>
      <c r="Q53" s="276"/>
      <c r="R53" s="276"/>
      <c r="S53" s="276"/>
      <c r="T53" s="276"/>
      <c r="U53" s="276"/>
      <c r="V53" s="276"/>
      <c r="W53" s="276"/>
      <c r="X53" s="276"/>
      <c r="Y53" s="276"/>
      <c r="Z53" s="276"/>
      <c r="AA53" s="276"/>
      <c r="AB53" s="197"/>
      <c r="AC53" s="454"/>
    </row>
    <row r="54" spans="1:29" s="7" customFormat="1" ht="33.75" customHeight="1">
      <c r="A54" s="455">
        <v>23</v>
      </c>
      <c r="B54" s="481"/>
      <c r="C54" s="13"/>
      <c r="D54" s="273" t="s">
        <v>177</v>
      </c>
      <c r="E54" s="216"/>
      <c r="F54" s="217"/>
      <c r="G54" s="217"/>
      <c r="H54" s="218"/>
      <c r="I54" s="218"/>
      <c r="J54" s="218"/>
      <c r="K54" s="218"/>
      <c r="L54" s="218"/>
      <c r="M54" s="218"/>
      <c r="N54" s="218"/>
      <c r="O54" s="218"/>
      <c r="P54" s="218"/>
      <c r="Q54" s="218"/>
      <c r="R54" s="218"/>
      <c r="S54" s="218"/>
      <c r="T54" s="218"/>
      <c r="U54" s="218"/>
      <c r="V54" s="218"/>
      <c r="W54" s="218"/>
      <c r="X54" s="218"/>
      <c r="Y54" s="218"/>
      <c r="Z54" s="218"/>
      <c r="AA54" s="218"/>
      <c r="AB54" s="196"/>
      <c r="AC54" s="453">
        <f t="shared" ref="AC54" si="18">SUM($E55:$G55)-SUM($I55:$AA55)+$AC52</f>
        <v>0</v>
      </c>
    </row>
    <row r="55" spans="1:29" s="7" customFormat="1" ht="33.75" customHeight="1" thickBot="1">
      <c r="A55" s="459"/>
      <c r="B55" s="482"/>
      <c r="C55" s="15"/>
      <c r="D55" s="274" t="s">
        <v>105</v>
      </c>
      <c r="E55" s="277"/>
      <c r="F55" s="278"/>
      <c r="G55" s="278"/>
      <c r="H55" s="276"/>
      <c r="I55" s="276"/>
      <c r="J55" s="276"/>
      <c r="K55" s="276"/>
      <c r="L55" s="276"/>
      <c r="M55" s="276"/>
      <c r="N55" s="276"/>
      <c r="O55" s="276"/>
      <c r="P55" s="276"/>
      <c r="Q55" s="276"/>
      <c r="R55" s="276"/>
      <c r="S55" s="276"/>
      <c r="T55" s="276"/>
      <c r="U55" s="276"/>
      <c r="V55" s="276"/>
      <c r="W55" s="276"/>
      <c r="X55" s="276"/>
      <c r="Y55" s="276"/>
      <c r="Z55" s="276"/>
      <c r="AA55" s="276"/>
      <c r="AB55" s="197"/>
      <c r="AC55" s="454"/>
    </row>
    <row r="56" spans="1:29" s="7" customFormat="1" ht="33.75" customHeight="1">
      <c r="A56" s="455">
        <v>24</v>
      </c>
      <c r="B56" s="481"/>
      <c r="C56" s="13"/>
      <c r="D56" s="273" t="s">
        <v>177</v>
      </c>
      <c r="E56" s="216"/>
      <c r="F56" s="217"/>
      <c r="G56" s="217"/>
      <c r="H56" s="218"/>
      <c r="I56" s="218"/>
      <c r="J56" s="218"/>
      <c r="K56" s="218"/>
      <c r="L56" s="218"/>
      <c r="M56" s="218"/>
      <c r="N56" s="218"/>
      <c r="O56" s="218"/>
      <c r="P56" s="218"/>
      <c r="Q56" s="218"/>
      <c r="R56" s="218"/>
      <c r="S56" s="218"/>
      <c r="T56" s="218"/>
      <c r="U56" s="218"/>
      <c r="V56" s="218"/>
      <c r="W56" s="218"/>
      <c r="X56" s="218"/>
      <c r="Y56" s="218"/>
      <c r="Z56" s="218"/>
      <c r="AA56" s="218"/>
      <c r="AB56" s="196"/>
      <c r="AC56" s="453">
        <f t="shared" ref="AC56" si="19">SUM($E57:$G57)-SUM($I57:$AA57)+$AC54</f>
        <v>0</v>
      </c>
    </row>
    <row r="57" spans="1:29" s="7" customFormat="1" ht="33.75" customHeight="1" thickBot="1">
      <c r="A57" s="459"/>
      <c r="B57" s="482"/>
      <c r="C57" s="15"/>
      <c r="D57" s="274" t="s">
        <v>105</v>
      </c>
      <c r="E57" s="277"/>
      <c r="F57" s="278"/>
      <c r="G57" s="278"/>
      <c r="H57" s="276"/>
      <c r="I57" s="276"/>
      <c r="J57" s="276"/>
      <c r="K57" s="276"/>
      <c r="L57" s="276"/>
      <c r="M57" s="276"/>
      <c r="N57" s="276"/>
      <c r="O57" s="276"/>
      <c r="P57" s="276"/>
      <c r="Q57" s="276"/>
      <c r="R57" s="276"/>
      <c r="S57" s="276"/>
      <c r="T57" s="276"/>
      <c r="U57" s="276"/>
      <c r="V57" s="276"/>
      <c r="W57" s="276"/>
      <c r="X57" s="276"/>
      <c r="Y57" s="276"/>
      <c r="Z57" s="276"/>
      <c r="AA57" s="276"/>
      <c r="AB57" s="197"/>
      <c r="AC57" s="454"/>
    </row>
    <row r="58" spans="1:29" s="7" customFormat="1" ht="33.75" customHeight="1">
      <c r="A58" s="455">
        <v>25</v>
      </c>
      <c r="B58" s="481"/>
      <c r="C58" s="13"/>
      <c r="D58" s="273" t="s">
        <v>177</v>
      </c>
      <c r="E58" s="216"/>
      <c r="F58" s="217"/>
      <c r="G58" s="217"/>
      <c r="H58" s="218"/>
      <c r="I58" s="218"/>
      <c r="J58" s="218"/>
      <c r="K58" s="218"/>
      <c r="L58" s="218"/>
      <c r="M58" s="218"/>
      <c r="N58" s="218"/>
      <c r="O58" s="218"/>
      <c r="P58" s="218"/>
      <c r="Q58" s="218"/>
      <c r="R58" s="218"/>
      <c r="S58" s="218"/>
      <c r="T58" s="218"/>
      <c r="U58" s="218"/>
      <c r="V58" s="218"/>
      <c r="W58" s="218"/>
      <c r="X58" s="218"/>
      <c r="Y58" s="218"/>
      <c r="Z58" s="218"/>
      <c r="AA58" s="218"/>
      <c r="AB58" s="196"/>
      <c r="AC58" s="453">
        <f t="shared" ref="AC58" si="20">SUM($E59:$G59)-SUM($I59:$AA59)+$AC56</f>
        <v>0</v>
      </c>
    </row>
    <row r="59" spans="1:29" s="7" customFormat="1" ht="33.75" customHeight="1" thickBot="1">
      <c r="A59" s="459"/>
      <c r="B59" s="482"/>
      <c r="C59" s="15"/>
      <c r="D59" s="274" t="s">
        <v>105</v>
      </c>
      <c r="E59" s="277"/>
      <c r="F59" s="278"/>
      <c r="G59" s="278"/>
      <c r="H59" s="276"/>
      <c r="I59" s="276"/>
      <c r="J59" s="276"/>
      <c r="K59" s="276"/>
      <c r="L59" s="276"/>
      <c r="M59" s="276"/>
      <c r="N59" s="276"/>
      <c r="O59" s="276"/>
      <c r="P59" s="276"/>
      <c r="Q59" s="276"/>
      <c r="R59" s="276"/>
      <c r="S59" s="276"/>
      <c r="T59" s="276"/>
      <c r="U59" s="276"/>
      <c r="V59" s="276"/>
      <c r="W59" s="276"/>
      <c r="X59" s="276"/>
      <c r="Y59" s="276"/>
      <c r="Z59" s="276"/>
      <c r="AA59" s="276"/>
      <c r="AB59" s="197"/>
      <c r="AC59" s="454"/>
    </row>
    <row r="60" spans="1:29" s="7" customFormat="1" ht="33.75" customHeight="1">
      <c r="A60" s="455">
        <v>26</v>
      </c>
      <c r="B60" s="481"/>
      <c r="C60" s="13"/>
      <c r="D60" s="273" t="s">
        <v>177</v>
      </c>
      <c r="E60" s="216"/>
      <c r="F60" s="217"/>
      <c r="G60" s="217"/>
      <c r="H60" s="218"/>
      <c r="I60" s="218"/>
      <c r="J60" s="218"/>
      <c r="K60" s="218"/>
      <c r="L60" s="218"/>
      <c r="M60" s="218"/>
      <c r="N60" s="218"/>
      <c r="O60" s="218"/>
      <c r="P60" s="218"/>
      <c r="Q60" s="218"/>
      <c r="R60" s="218"/>
      <c r="S60" s="218"/>
      <c r="T60" s="218"/>
      <c r="U60" s="218"/>
      <c r="V60" s="218"/>
      <c r="W60" s="218"/>
      <c r="X60" s="218"/>
      <c r="Y60" s="218"/>
      <c r="Z60" s="218"/>
      <c r="AA60" s="218"/>
      <c r="AB60" s="196"/>
      <c r="AC60" s="453">
        <f t="shared" ref="AC60" si="21">SUM($E61:$G61)-SUM($I61:$AA61)+$AC58</f>
        <v>0</v>
      </c>
    </row>
    <row r="61" spans="1:29" s="7" customFormat="1" ht="33.75" customHeight="1" thickBot="1">
      <c r="A61" s="459"/>
      <c r="B61" s="482"/>
      <c r="C61" s="15"/>
      <c r="D61" s="274" t="s">
        <v>105</v>
      </c>
      <c r="E61" s="277"/>
      <c r="F61" s="278"/>
      <c r="G61" s="278"/>
      <c r="H61" s="220"/>
      <c r="I61" s="276"/>
      <c r="J61" s="276"/>
      <c r="K61" s="276"/>
      <c r="L61" s="276"/>
      <c r="M61" s="276"/>
      <c r="N61" s="276"/>
      <c r="O61" s="276"/>
      <c r="P61" s="276"/>
      <c r="Q61" s="276"/>
      <c r="R61" s="276"/>
      <c r="S61" s="276"/>
      <c r="T61" s="276"/>
      <c r="U61" s="276"/>
      <c r="V61" s="276"/>
      <c r="W61" s="276"/>
      <c r="X61" s="276"/>
      <c r="Y61" s="276"/>
      <c r="Z61" s="276"/>
      <c r="AA61" s="276"/>
      <c r="AB61" s="197"/>
      <c r="AC61" s="454"/>
    </row>
    <row r="62" spans="1:29" s="7" customFormat="1" ht="33.75" customHeight="1">
      <c r="A62" s="455">
        <v>27</v>
      </c>
      <c r="B62" s="481"/>
      <c r="C62" s="13"/>
      <c r="D62" s="273" t="s">
        <v>177</v>
      </c>
      <c r="E62" s="216"/>
      <c r="F62" s="217"/>
      <c r="G62" s="217"/>
      <c r="H62" s="218"/>
      <c r="I62" s="218"/>
      <c r="J62" s="218"/>
      <c r="K62" s="218"/>
      <c r="L62" s="218"/>
      <c r="M62" s="218"/>
      <c r="N62" s="218"/>
      <c r="O62" s="218"/>
      <c r="P62" s="218"/>
      <c r="Q62" s="218"/>
      <c r="R62" s="218"/>
      <c r="S62" s="218"/>
      <c r="T62" s="218"/>
      <c r="U62" s="218"/>
      <c r="V62" s="218"/>
      <c r="W62" s="218"/>
      <c r="X62" s="218"/>
      <c r="Y62" s="218"/>
      <c r="Z62" s="218"/>
      <c r="AA62" s="218"/>
      <c r="AB62" s="196"/>
      <c r="AC62" s="453">
        <f t="shared" ref="AC62" si="22">SUM($E63:$G63)-SUM($I63:$AA63)+$AC60</f>
        <v>0</v>
      </c>
    </row>
    <row r="63" spans="1:29" s="7" customFormat="1" ht="33.75" customHeight="1" thickBot="1">
      <c r="A63" s="459"/>
      <c r="B63" s="482"/>
      <c r="C63" s="15"/>
      <c r="D63" s="274" t="s">
        <v>105</v>
      </c>
      <c r="E63" s="277"/>
      <c r="F63" s="278"/>
      <c r="G63" s="278"/>
      <c r="H63" s="276"/>
      <c r="I63" s="276"/>
      <c r="J63" s="276"/>
      <c r="K63" s="276"/>
      <c r="L63" s="276"/>
      <c r="M63" s="276"/>
      <c r="N63" s="276"/>
      <c r="O63" s="276"/>
      <c r="P63" s="276"/>
      <c r="Q63" s="276"/>
      <c r="R63" s="276"/>
      <c r="S63" s="276"/>
      <c r="T63" s="276"/>
      <c r="U63" s="276"/>
      <c r="V63" s="276"/>
      <c r="W63" s="276"/>
      <c r="X63" s="276"/>
      <c r="Y63" s="276"/>
      <c r="Z63" s="276"/>
      <c r="AA63" s="276"/>
      <c r="AB63" s="197"/>
      <c r="AC63" s="454"/>
    </row>
    <row r="64" spans="1:29" s="7" customFormat="1" ht="33.75" customHeight="1">
      <c r="A64" s="455">
        <v>28</v>
      </c>
      <c r="B64" s="481"/>
      <c r="C64" s="13"/>
      <c r="D64" s="273" t="s">
        <v>177</v>
      </c>
      <c r="E64" s="216"/>
      <c r="F64" s="217"/>
      <c r="G64" s="217"/>
      <c r="H64" s="218"/>
      <c r="I64" s="218"/>
      <c r="J64" s="218"/>
      <c r="K64" s="218"/>
      <c r="L64" s="218"/>
      <c r="M64" s="218"/>
      <c r="N64" s="218"/>
      <c r="O64" s="218"/>
      <c r="P64" s="218"/>
      <c r="Q64" s="218"/>
      <c r="R64" s="218"/>
      <c r="S64" s="218"/>
      <c r="T64" s="218"/>
      <c r="U64" s="218"/>
      <c r="V64" s="218"/>
      <c r="W64" s="218"/>
      <c r="X64" s="218"/>
      <c r="Y64" s="218"/>
      <c r="Z64" s="218"/>
      <c r="AA64" s="218"/>
      <c r="AB64" s="196"/>
      <c r="AC64" s="453">
        <f t="shared" ref="AC64" si="23">SUM($E65:$G65)-SUM($I65:$AA65)+$AC62</f>
        <v>0</v>
      </c>
    </row>
    <row r="65" spans="1:29" s="7" customFormat="1" ht="33.75" customHeight="1" thickBot="1">
      <c r="A65" s="459"/>
      <c r="B65" s="482"/>
      <c r="C65" s="15"/>
      <c r="D65" s="274" t="s">
        <v>105</v>
      </c>
      <c r="E65" s="277"/>
      <c r="F65" s="278"/>
      <c r="G65" s="278"/>
      <c r="H65" s="276"/>
      <c r="I65" s="276"/>
      <c r="J65" s="276"/>
      <c r="K65" s="276"/>
      <c r="L65" s="276"/>
      <c r="M65" s="276"/>
      <c r="N65" s="276"/>
      <c r="O65" s="276"/>
      <c r="P65" s="276"/>
      <c r="Q65" s="276"/>
      <c r="R65" s="276"/>
      <c r="S65" s="276"/>
      <c r="T65" s="276"/>
      <c r="U65" s="276"/>
      <c r="V65" s="276"/>
      <c r="W65" s="276"/>
      <c r="X65" s="276"/>
      <c r="Y65" s="276"/>
      <c r="Z65" s="276"/>
      <c r="AA65" s="276"/>
      <c r="AB65" s="197"/>
      <c r="AC65" s="454"/>
    </row>
    <row r="66" spans="1:29" s="7" customFormat="1" ht="33.75" customHeight="1">
      <c r="A66" s="455">
        <v>29</v>
      </c>
      <c r="B66" s="481"/>
      <c r="C66" s="13"/>
      <c r="D66" s="273" t="s">
        <v>177</v>
      </c>
      <c r="E66" s="216"/>
      <c r="F66" s="217"/>
      <c r="G66" s="217"/>
      <c r="H66" s="218"/>
      <c r="I66" s="218"/>
      <c r="J66" s="218"/>
      <c r="K66" s="218"/>
      <c r="L66" s="218"/>
      <c r="M66" s="218"/>
      <c r="N66" s="218"/>
      <c r="O66" s="218"/>
      <c r="P66" s="218"/>
      <c r="Q66" s="218"/>
      <c r="R66" s="218"/>
      <c r="S66" s="218"/>
      <c r="T66" s="218"/>
      <c r="U66" s="218"/>
      <c r="V66" s="218"/>
      <c r="W66" s="218"/>
      <c r="X66" s="218"/>
      <c r="Y66" s="218"/>
      <c r="Z66" s="218"/>
      <c r="AA66" s="218"/>
      <c r="AB66" s="196"/>
      <c r="AC66" s="453">
        <f t="shared" ref="AC66" si="24">SUM($E67:$G67)-SUM($I67:$AA67)+$AC64</f>
        <v>0</v>
      </c>
    </row>
    <row r="67" spans="1:29" s="7" customFormat="1" ht="33.75" customHeight="1" thickBot="1">
      <c r="A67" s="459"/>
      <c r="B67" s="482"/>
      <c r="C67" s="15"/>
      <c r="D67" s="274" t="s">
        <v>105</v>
      </c>
      <c r="E67" s="277"/>
      <c r="F67" s="278"/>
      <c r="G67" s="278"/>
      <c r="H67" s="276"/>
      <c r="I67" s="276"/>
      <c r="J67" s="276"/>
      <c r="K67" s="276"/>
      <c r="L67" s="276"/>
      <c r="M67" s="276"/>
      <c r="N67" s="276"/>
      <c r="O67" s="276"/>
      <c r="P67" s="276"/>
      <c r="Q67" s="276"/>
      <c r="R67" s="276"/>
      <c r="S67" s="276"/>
      <c r="T67" s="276"/>
      <c r="U67" s="276"/>
      <c r="V67" s="276"/>
      <c r="W67" s="276"/>
      <c r="X67" s="276"/>
      <c r="Y67" s="276"/>
      <c r="Z67" s="276"/>
      <c r="AA67" s="276"/>
      <c r="AB67" s="197"/>
      <c r="AC67" s="454"/>
    </row>
    <row r="68" spans="1:29" s="7" customFormat="1" ht="33.75" customHeight="1">
      <c r="A68" s="455">
        <v>30</v>
      </c>
      <c r="B68" s="481"/>
      <c r="C68" s="13"/>
      <c r="D68" s="273" t="s">
        <v>177</v>
      </c>
      <c r="E68" s="216"/>
      <c r="F68" s="217"/>
      <c r="G68" s="217"/>
      <c r="H68" s="218"/>
      <c r="I68" s="218"/>
      <c r="J68" s="218"/>
      <c r="K68" s="218"/>
      <c r="L68" s="218"/>
      <c r="M68" s="218"/>
      <c r="N68" s="218"/>
      <c r="O68" s="218"/>
      <c r="P68" s="218"/>
      <c r="Q68" s="218"/>
      <c r="R68" s="218"/>
      <c r="S68" s="218"/>
      <c r="T68" s="218"/>
      <c r="U68" s="218"/>
      <c r="V68" s="218"/>
      <c r="W68" s="218"/>
      <c r="X68" s="218"/>
      <c r="Y68" s="218"/>
      <c r="Z68" s="218"/>
      <c r="AA68" s="218"/>
      <c r="AB68" s="196"/>
      <c r="AC68" s="453">
        <f t="shared" ref="AC68" si="25">SUM($E69:$G69)-SUM($I69:$AA69)+$AC66</f>
        <v>0</v>
      </c>
    </row>
    <row r="69" spans="1:29" s="7" customFormat="1" ht="33.75" customHeight="1" thickBot="1">
      <c r="A69" s="459"/>
      <c r="B69" s="482"/>
      <c r="C69" s="15"/>
      <c r="D69" s="274" t="s">
        <v>105</v>
      </c>
      <c r="E69" s="277"/>
      <c r="F69" s="278"/>
      <c r="G69" s="278"/>
      <c r="H69" s="276"/>
      <c r="I69" s="276"/>
      <c r="J69" s="276"/>
      <c r="K69" s="276"/>
      <c r="L69" s="276"/>
      <c r="M69" s="276"/>
      <c r="N69" s="276"/>
      <c r="O69" s="276"/>
      <c r="P69" s="276"/>
      <c r="Q69" s="276"/>
      <c r="R69" s="276"/>
      <c r="S69" s="276"/>
      <c r="T69" s="276"/>
      <c r="U69" s="276"/>
      <c r="V69" s="276"/>
      <c r="W69" s="276"/>
      <c r="X69" s="276"/>
      <c r="Y69" s="276"/>
      <c r="Z69" s="276"/>
      <c r="AA69" s="276"/>
      <c r="AB69" s="197"/>
      <c r="AC69" s="454"/>
    </row>
    <row r="70" spans="1:29" s="7" customFormat="1" ht="33.75" customHeight="1">
      <c r="A70" s="455">
        <v>31</v>
      </c>
      <c r="B70" s="481"/>
      <c r="C70" s="13"/>
      <c r="D70" s="273" t="s">
        <v>177</v>
      </c>
      <c r="E70" s="216"/>
      <c r="F70" s="217"/>
      <c r="G70" s="217"/>
      <c r="H70" s="218"/>
      <c r="I70" s="218"/>
      <c r="J70" s="218"/>
      <c r="K70" s="218"/>
      <c r="L70" s="218"/>
      <c r="M70" s="218"/>
      <c r="N70" s="218"/>
      <c r="O70" s="218"/>
      <c r="P70" s="218"/>
      <c r="Q70" s="218"/>
      <c r="R70" s="218"/>
      <c r="S70" s="218"/>
      <c r="T70" s="218"/>
      <c r="U70" s="218"/>
      <c r="V70" s="218"/>
      <c r="W70" s="218"/>
      <c r="X70" s="218"/>
      <c r="Y70" s="218"/>
      <c r="Z70" s="218"/>
      <c r="AA70" s="218"/>
      <c r="AB70" s="196"/>
      <c r="AC70" s="453">
        <f t="shared" ref="AC70" si="26">SUM($E71:$G71)-SUM($I71:$AA71)+$AC68</f>
        <v>0</v>
      </c>
    </row>
    <row r="71" spans="1:29" s="7" customFormat="1" ht="33.75" customHeight="1" thickBot="1">
      <c r="A71" s="459"/>
      <c r="B71" s="482"/>
      <c r="C71" s="15"/>
      <c r="D71" s="274" t="s">
        <v>105</v>
      </c>
      <c r="E71" s="277"/>
      <c r="F71" s="278"/>
      <c r="G71" s="278"/>
      <c r="H71" s="276"/>
      <c r="I71" s="276"/>
      <c r="J71" s="276"/>
      <c r="K71" s="276"/>
      <c r="L71" s="276"/>
      <c r="M71" s="276"/>
      <c r="N71" s="276"/>
      <c r="O71" s="276"/>
      <c r="P71" s="276"/>
      <c r="Q71" s="276"/>
      <c r="R71" s="276"/>
      <c r="S71" s="276"/>
      <c r="T71" s="276"/>
      <c r="U71" s="276"/>
      <c r="V71" s="276"/>
      <c r="W71" s="276"/>
      <c r="X71" s="276"/>
      <c r="Y71" s="276"/>
      <c r="Z71" s="276"/>
      <c r="AA71" s="276"/>
      <c r="AB71" s="197"/>
      <c r="AC71" s="454"/>
    </row>
    <row r="72" spans="1:29" ht="46.5" customHeight="1">
      <c r="A72" s="469" t="s">
        <v>331</v>
      </c>
      <c r="B72" s="470"/>
      <c r="C72" s="470"/>
      <c r="D72" s="471"/>
      <c r="E72" s="192">
        <f>SUM(E$10:E$71)</f>
        <v>0</v>
      </c>
      <c r="F72" s="192">
        <f t="shared" ref="F72" si="27">SUM(F$10:F$71)</f>
        <v>0</v>
      </c>
      <c r="G72" s="192">
        <f>SUM(G$10:G$71)</f>
        <v>0</v>
      </c>
      <c r="H72" s="192">
        <f>SUMIF($D$10:$D$41,$D72,H$10:H$41)</f>
        <v>0</v>
      </c>
      <c r="I72" s="192">
        <f>SUM(I$10:I$71)</f>
        <v>0</v>
      </c>
      <c r="J72" s="192">
        <f t="shared" ref="J72:AA72" si="28">SUM(J$10:J$71)</f>
        <v>0</v>
      </c>
      <c r="K72" s="192">
        <f t="shared" si="28"/>
        <v>0</v>
      </c>
      <c r="L72" s="192">
        <f t="shared" si="28"/>
        <v>0</v>
      </c>
      <c r="M72" s="192">
        <f t="shared" si="28"/>
        <v>0</v>
      </c>
      <c r="N72" s="192">
        <f t="shared" si="28"/>
        <v>0</v>
      </c>
      <c r="O72" s="192">
        <f t="shared" si="28"/>
        <v>0</v>
      </c>
      <c r="P72" s="192">
        <f t="shared" si="28"/>
        <v>0</v>
      </c>
      <c r="Q72" s="192">
        <f t="shared" si="28"/>
        <v>0</v>
      </c>
      <c r="R72" s="192">
        <f t="shared" si="28"/>
        <v>0</v>
      </c>
      <c r="S72" s="192">
        <f t="shared" si="28"/>
        <v>0</v>
      </c>
      <c r="T72" s="192">
        <f t="shared" si="28"/>
        <v>0</v>
      </c>
      <c r="U72" s="192">
        <f t="shared" si="28"/>
        <v>0</v>
      </c>
      <c r="V72" s="192">
        <f t="shared" si="28"/>
        <v>0</v>
      </c>
      <c r="W72" s="192">
        <f t="shared" si="28"/>
        <v>0</v>
      </c>
      <c r="X72" s="192">
        <f t="shared" si="28"/>
        <v>0</v>
      </c>
      <c r="Y72" s="192">
        <f t="shared" si="28"/>
        <v>0</v>
      </c>
      <c r="Z72" s="192">
        <f t="shared" si="28"/>
        <v>0</v>
      </c>
      <c r="AA72" s="192">
        <f t="shared" si="28"/>
        <v>0</v>
      </c>
      <c r="AB72" s="197">
        <f>SUMIF($D$10:$D$41,$D72,AB$10:AB$41)</f>
        <v>0</v>
      </c>
      <c r="AC72" s="193"/>
    </row>
    <row r="73" spans="1:29" ht="33.75" customHeight="1">
      <c r="B73" s="43" t="s">
        <v>330</v>
      </c>
    </row>
  </sheetData>
  <sheetProtection sheet="1" objects="1" scenarios="1" selectLockedCells="1"/>
  <mergeCells count="136">
    <mergeCell ref="E5:G5"/>
    <mergeCell ref="I5:AA5"/>
    <mergeCell ref="E6:E7"/>
    <mergeCell ref="F6:F9"/>
    <mergeCell ref="G6:G7"/>
    <mergeCell ref="H6:H9"/>
    <mergeCell ref="A2:A9"/>
    <mergeCell ref="B2:B4"/>
    <mergeCell ref="C2:C4"/>
    <mergeCell ref="D2:G4"/>
    <mergeCell ref="H2:H4"/>
    <mergeCell ref="I2:AA4"/>
    <mergeCell ref="B6:B9"/>
    <mergeCell ref="C6:C9"/>
    <mergeCell ref="D6:D9"/>
    <mergeCell ref="J6:J9"/>
    <mergeCell ref="V6:V9"/>
    <mergeCell ref="K6:K9"/>
    <mergeCell ref="L6:L9"/>
    <mergeCell ref="M6:M9"/>
    <mergeCell ref="N6:N9"/>
    <mergeCell ref="O6:O9"/>
    <mergeCell ref="P6:P9"/>
    <mergeCell ref="R6:R9"/>
    <mergeCell ref="AB2:AB3"/>
    <mergeCell ref="AC2:AC3"/>
    <mergeCell ref="AB4:AB6"/>
    <mergeCell ref="AC4:AC6"/>
    <mergeCell ref="A12:A13"/>
    <mergeCell ref="B12:B13"/>
    <mergeCell ref="AC12:AC13"/>
    <mergeCell ref="A14:A15"/>
    <mergeCell ref="B14:B15"/>
    <mergeCell ref="AC14:AC15"/>
    <mergeCell ref="AB7:AB9"/>
    <mergeCell ref="AC7:AC9"/>
    <mergeCell ref="E8:E9"/>
    <mergeCell ref="G8:G9"/>
    <mergeCell ref="A10:A11"/>
    <mergeCell ref="B10:B11"/>
    <mergeCell ref="AC10:AC11"/>
    <mergeCell ref="W6:W9"/>
    <mergeCell ref="X6:X9"/>
    <mergeCell ref="Y6:Y9"/>
    <mergeCell ref="Z6:Z9"/>
    <mergeCell ref="I7:I8"/>
    <mergeCell ref="AA7:AA8"/>
    <mergeCell ref="Q6:Q9"/>
    <mergeCell ref="S6:S9"/>
    <mergeCell ref="T6:T9"/>
    <mergeCell ref="U6:U9"/>
    <mergeCell ref="A20:A21"/>
    <mergeCell ref="B20:B21"/>
    <mergeCell ref="AC20:AC21"/>
    <mergeCell ref="A22:A23"/>
    <mergeCell ref="B22:B23"/>
    <mergeCell ref="AC22:AC23"/>
    <mergeCell ref="A16:A17"/>
    <mergeCell ref="B16:B17"/>
    <mergeCell ref="AC16:AC17"/>
    <mergeCell ref="A18:A19"/>
    <mergeCell ref="B18:B19"/>
    <mergeCell ref="AC18:AC19"/>
    <mergeCell ref="A28:A29"/>
    <mergeCell ref="B28:B29"/>
    <mergeCell ref="AC28:AC29"/>
    <mergeCell ref="A30:A31"/>
    <mergeCell ref="B30:B31"/>
    <mergeCell ref="AC30:AC31"/>
    <mergeCell ref="A24:A25"/>
    <mergeCell ref="B24:B25"/>
    <mergeCell ref="AC24:AC25"/>
    <mergeCell ref="A26:A27"/>
    <mergeCell ref="B26:B27"/>
    <mergeCell ref="AC26:AC27"/>
    <mergeCell ref="A36:A37"/>
    <mergeCell ref="B36:B37"/>
    <mergeCell ref="AC36:AC37"/>
    <mergeCell ref="A38:A39"/>
    <mergeCell ref="B38:B39"/>
    <mergeCell ref="AC38:AC39"/>
    <mergeCell ref="A32:A33"/>
    <mergeCell ref="B32:B33"/>
    <mergeCell ref="AC32:AC33"/>
    <mergeCell ref="A34:A35"/>
    <mergeCell ref="B34:B35"/>
    <mergeCell ref="AC34:AC35"/>
    <mergeCell ref="A44:A45"/>
    <mergeCell ref="B44:B45"/>
    <mergeCell ref="AC44:AC45"/>
    <mergeCell ref="A46:A47"/>
    <mergeCell ref="B46:B47"/>
    <mergeCell ref="AC46:AC47"/>
    <mergeCell ref="A40:A41"/>
    <mergeCell ref="B40:B41"/>
    <mergeCell ref="AC40:AC41"/>
    <mergeCell ref="A42:A43"/>
    <mergeCell ref="B42:B43"/>
    <mergeCell ref="AC42:AC43"/>
    <mergeCell ref="A52:A53"/>
    <mergeCell ref="B52:B53"/>
    <mergeCell ref="AC52:AC53"/>
    <mergeCell ref="A54:A55"/>
    <mergeCell ref="B54:B55"/>
    <mergeCell ref="AC54:AC55"/>
    <mergeCell ref="A48:A49"/>
    <mergeCell ref="B48:B49"/>
    <mergeCell ref="AC48:AC49"/>
    <mergeCell ref="A50:A51"/>
    <mergeCell ref="B50:B51"/>
    <mergeCell ref="AC50:AC51"/>
    <mergeCell ref="A60:A61"/>
    <mergeCell ref="B60:B61"/>
    <mergeCell ref="AC60:AC61"/>
    <mergeCell ref="A62:A63"/>
    <mergeCell ref="B62:B63"/>
    <mergeCell ref="AC62:AC63"/>
    <mergeCell ref="A56:A57"/>
    <mergeCell ref="B56:B57"/>
    <mergeCell ref="AC56:AC57"/>
    <mergeCell ref="A58:A59"/>
    <mergeCell ref="B58:B59"/>
    <mergeCell ref="AC58:AC59"/>
    <mergeCell ref="A68:A69"/>
    <mergeCell ref="B68:B69"/>
    <mergeCell ref="AC68:AC69"/>
    <mergeCell ref="A70:A71"/>
    <mergeCell ref="B70:B71"/>
    <mergeCell ref="A72:D72"/>
    <mergeCell ref="A64:A65"/>
    <mergeCell ref="B64:B65"/>
    <mergeCell ref="AC64:AC65"/>
    <mergeCell ref="A66:A67"/>
    <mergeCell ref="B66:B67"/>
    <mergeCell ref="AC66:AC67"/>
    <mergeCell ref="AC70:AC71"/>
  </mergeCells>
  <phoneticPr fontId="1"/>
  <pageMargins left="0.47244094488188981" right="0.31496062992125984" top="0.59055118110236227" bottom="0.19685039370078741" header="0.31496062992125984" footer="0.31496062992125984"/>
  <pageSetup paperSize="9" scale="45" orientation="landscape" r:id="rId1"/>
  <rowBreaks count="1" manualBreakCount="1">
    <brk id="3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1AA88-7ED9-4EB8-845B-E147BE1214C0}">
  <dimension ref="A1:AC73"/>
  <sheetViews>
    <sheetView zoomScale="50" zoomScaleNormal="50" workbookViewId="0">
      <pane xSplit="4" ySplit="9" topLeftCell="E61" activePane="bottomRight" state="frozen"/>
      <selection activeCell="E10" sqref="E10:AA71"/>
      <selection pane="topRight" activeCell="E10" sqref="E10:AA71"/>
      <selection pane="bottomLeft" activeCell="E10" sqref="E10:AA71"/>
      <selection pane="bottomRight" activeCell="I68" sqref="G66:I68"/>
    </sheetView>
  </sheetViews>
  <sheetFormatPr defaultRowHeight="33.75" customHeight="1"/>
  <cols>
    <col min="1" max="1" width="3.625" customWidth="1"/>
    <col min="2" max="2" width="34.375" customWidth="1"/>
    <col min="3" max="3" width="0.375" customWidth="1"/>
    <col min="4" max="4" width="4.625" customWidth="1"/>
    <col min="5" max="7" width="10" customWidth="1"/>
    <col min="8" max="8" width="0.25" customWidth="1"/>
    <col min="9" max="22" width="10" customWidth="1"/>
    <col min="23" max="24" width="10" style="17" customWidth="1"/>
    <col min="25" max="27" width="10" customWidth="1"/>
    <col min="28" max="28" width="0.25" customWidth="1"/>
    <col min="29" max="29" width="14" customWidth="1"/>
  </cols>
  <sheetData>
    <row r="1" spans="1:29" ht="26.25" customHeight="1" thickBot="1">
      <c r="B1" s="4"/>
    </row>
    <row r="2" spans="1:29" ht="15" customHeight="1">
      <c r="A2" s="377" t="s">
        <v>24</v>
      </c>
      <c r="B2" s="380" t="s">
        <v>338</v>
      </c>
      <c r="C2" s="383"/>
      <c r="D2" s="355" t="s">
        <v>189</v>
      </c>
      <c r="E2" s="356"/>
      <c r="F2" s="356"/>
      <c r="G2" s="356"/>
      <c r="H2" s="386"/>
      <c r="I2" s="355" t="s">
        <v>188</v>
      </c>
      <c r="J2" s="356"/>
      <c r="K2" s="356"/>
      <c r="L2" s="356"/>
      <c r="M2" s="356"/>
      <c r="N2" s="356"/>
      <c r="O2" s="356"/>
      <c r="P2" s="356"/>
      <c r="Q2" s="356"/>
      <c r="R2" s="356"/>
      <c r="S2" s="356"/>
      <c r="T2" s="356"/>
      <c r="U2" s="356"/>
      <c r="V2" s="356"/>
      <c r="W2" s="356"/>
      <c r="X2" s="356"/>
      <c r="Y2" s="356"/>
      <c r="Z2" s="356"/>
      <c r="AA2" s="356"/>
      <c r="AB2" s="424"/>
      <c r="AC2" s="445" t="s">
        <v>265</v>
      </c>
    </row>
    <row r="3" spans="1:29" ht="18.75" customHeight="1">
      <c r="A3" s="378"/>
      <c r="B3" s="381"/>
      <c r="C3" s="384"/>
      <c r="D3" s="358"/>
      <c r="E3" s="359"/>
      <c r="F3" s="359"/>
      <c r="G3" s="359"/>
      <c r="H3" s="387"/>
      <c r="I3" s="358"/>
      <c r="J3" s="359"/>
      <c r="K3" s="359"/>
      <c r="L3" s="359"/>
      <c r="M3" s="359"/>
      <c r="N3" s="359"/>
      <c r="O3" s="359"/>
      <c r="P3" s="359"/>
      <c r="Q3" s="359"/>
      <c r="R3" s="359"/>
      <c r="S3" s="359"/>
      <c r="T3" s="359"/>
      <c r="U3" s="359"/>
      <c r="V3" s="359"/>
      <c r="W3" s="359"/>
      <c r="X3" s="359"/>
      <c r="Y3" s="359"/>
      <c r="Z3" s="359"/>
      <c r="AA3" s="359"/>
      <c r="AB3" s="425"/>
      <c r="AC3" s="446"/>
    </row>
    <row r="4" spans="1:29" ht="11.25" customHeight="1">
      <c r="A4" s="378"/>
      <c r="B4" s="382"/>
      <c r="C4" s="385"/>
      <c r="D4" s="361"/>
      <c r="E4" s="362"/>
      <c r="F4" s="362"/>
      <c r="G4" s="362"/>
      <c r="H4" s="388"/>
      <c r="I4" s="361"/>
      <c r="J4" s="362"/>
      <c r="K4" s="362"/>
      <c r="L4" s="362"/>
      <c r="M4" s="362"/>
      <c r="N4" s="362"/>
      <c r="O4" s="362"/>
      <c r="P4" s="362"/>
      <c r="Q4" s="362"/>
      <c r="R4" s="362"/>
      <c r="S4" s="362"/>
      <c r="T4" s="362"/>
      <c r="U4" s="362"/>
      <c r="V4" s="362"/>
      <c r="W4" s="362"/>
      <c r="X4" s="362"/>
      <c r="Y4" s="362"/>
      <c r="Z4" s="362"/>
      <c r="AA4" s="362"/>
      <c r="AB4" s="434"/>
      <c r="AC4" s="447" t="s">
        <v>49</v>
      </c>
    </row>
    <row r="5" spans="1:29" ht="2.25" customHeight="1">
      <c r="A5" s="378"/>
      <c r="B5" s="38"/>
      <c r="C5" s="3"/>
      <c r="D5" s="204"/>
      <c r="E5" s="397"/>
      <c r="F5" s="398"/>
      <c r="G5" s="398"/>
      <c r="H5" s="3"/>
      <c r="I5" s="397"/>
      <c r="J5" s="398"/>
      <c r="K5" s="398"/>
      <c r="L5" s="398"/>
      <c r="M5" s="398"/>
      <c r="N5" s="398"/>
      <c r="O5" s="398"/>
      <c r="P5" s="398"/>
      <c r="Q5" s="398"/>
      <c r="R5" s="398"/>
      <c r="S5" s="398"/>
      <c r="T5" s="398"/>
      <c r="U5" s="398"/>
      <c r="V5" s="398"/>
      <c r="W5" s="398"/>
      <c r="X5" s="398"/>
      <c r="Y5" s="398"/>
      <c r="Z5" s="398"/>
      <c r="AA5" s="398"/>
      <c r="AB5" s="435"/>
      <c r="AC5" s="448"/>
    </row>
    <row r="6" spans="1:29" s="201" customFormat="1" ht="15" customHeight="1">
      <c r="A6" s="378"/>
      <c r="B6" s="389" t="s">
        <v>51</v>
      </c>
      <c r="C6" s="391"/>
      <c r="D6" s="391"/>
      <c r="E6" s="391" t="s">
        <v>26</v>
      </c>
      <c r="F6" s="391" t="str">
        <f>雑収入</f>
        <v>雑収入</v>
      </c>
      <c r="G6" s="444" t="s">
        <v>27</v>
      </c>
      <c r="H6" s="391"/>
      <c r="I6" s="199" t="s">
        <v>28</v>
      </c>
      <c r="J6" s="391" t="str">
        <f>租税公課</f>
        <v>租税公課</v>
      </c>
      <c r="K6" s="391" t="s">
        <v>101</v>
      </c>
      <c r="L6" s="391" t="s">
        <v>6</v>
      </c>
      <c r="M6" s="364" t="str">
        <f>通信費</f>
        <v>通信費</v>
      </c>
      <c r="N6" s="391" t="s">
        <v>8</v>
      </c>
      <c r="O6" s="391" t="s">
        <v>9</v>
      </c>
      <c r="P6" s="391" t="s">
        <v>10</v>
      </c>
      <c r="Q6" s="364" t="str">
        <f>修繕費</f>
        <v>修繕費</v>
      </c>
      <c r="R6" s="391" t="str">
        <f>消耗品費</f>
        <v>消耗品費</v>
      </c>
      <c r="S6" s="391" t="s">
        <v>97</v>
      </c>
      <c r="T6" s="391" t="str">
        <f>給料賃金</f>
        <v>給料賃金</v>
      </c>
      <c r="U6" s="391" t="str">
        <f>外注工賃</f>
        <v>外注工賃</v>
      </c>
      <c r="V6" s="391" t="s">
        <v>16</v>
      </c>
      <c r="W6" s="364" t="str">
        <f>車両費</f>
        <v>車両費</v>
      </c>
      <c r="X6" s="484" t="str">
        <f>空欄1</f>
        <v>空欄1</v>
      </c>
      <c r="Y6" s="391" t="str">
        <f>空欄2</f>
        <v>空欄2</v>
      </c>
      <c r="Z6" s="391" t="str">
        <f>雑費</f>
        <v>雑費</v>
      </c>
      <c r="AA6" s="200" t="s">
        <v>143</v>
      </c>
      <c r="AB6" s="425"/>
      <c r="AC6" s="446"/>
    </row>
    <row r="7" spans="1:29" s="201" customFormat="1" ht="7.5" customHeight="1">
      <c r="A7" s="378"/>
      <c r="B7" s="387"/>
      <c r="C7" s="392"/>
      <c r="D7" s="392"/>
      <c r="E7" s="392"/>
      <c r="F7" s="392"/>
      <c r="G7" s="426"/>
      <c r="H7" s="392"/>
      <c r="I7" s="366" t="s">
        <v>38</v>
      </c>
      <c r="J7" s="392"/>
      <c r="K7" s="392"/>
      <c r="L7" s="392"/>
      <c r="M7" s="366"/>
      <c r="N7" s="392"/>
      <c r="O7" s="392"/>
      <c r="P7" s="392"/>
      <c r="Q7" s="366"/>
      <c r="R7" s="392"/>
      <c r="S7" s="392"/>
      <c r="T7" s="392"/>
      <c r="U7" s="392"/>
      <c r="V7" s="392"/>
      <c r="W7" s="366"/>
      <c r="X7" s="485"/>
      <c r="Y7" s="392"/>
      <c r="Z7" s="392"/>
      <c r="AA7" s="426" t="s">
        <v>98</v>
      </c>
      <c r="AB7" s="391"/>
      <c r="AC7" s="489">
        <f>繰越・7月</f>
        <v>0</v>
      </c>
    </row>
    <row r="8" spans="1:29" s="201" customFormat="1" ht="7.5" customHeight="1">
      <c r="A8" s="378"/>
      <c r="B8" s="387"/>
      <c r="C8" s="392"/>
      <c r="D8" s="392"/>
      <c r="E8" s="392" t="s">
        <v>36</v>
      </c>
      <c r="F8" s="392"/>
      <c r="G8" s="426" t="s">
        <v>37</v>
      </c>
      <c r="H8" s="392"/>
      <c r="I8" s="366"/>
      <c r="J8" s="392"/>
      <c r="K8" s="392"/>
      <c r="L8" s="392"/>
      <c r="M8" s="366"/>
      <c r="N8" s="392"/>
      <c r="O8" s="392"/>
      <c r="P8" s="392"/>
      <c r="Q8" s="366"/>
      <c r="R8" s="392"/>
      <c r="S8" s="392"/>
      <c r="T8" s="392"/>
      <c r="U8" s="392"/>
      <c r="V8" s="392"/>
      <c r="W8" s="366"/>
      <c r="X8" s="485"/>
      <c r="Y8" s="392"/>
      <c r="Z8" s="392"/>
      <c r="AA8" s="426"/>
      <c r="AB8" s="392"/>
      <c r="AC8" s="490"/>
    </row>
    <row r="9" spans="1:29" s="201" customFormat="1" ht="15" customHeight="1" thickBot="1">
      <c r="A9" s="379"/>
      <c r="B9" s="390"/>
      <c r="C9" s="393"/>
      <c r="D9" s="393"/>
      <c r="E9" s="393"/>
      <c r="F9" s="393"/>
      <c r="G9" s="416"/>
      <c r="H9" s="393"/>
      <c r="I9" s="202" t="s">
        <v>50</v>
      </c>
      <c r="J9" s="393"/>
      <c r="K9" s="393"/>
      <c r="L9" s="393"/>
      <c r="M9" s="368"/>
      <c r="N9" s="393"/>
      <c r="O9" s="393"/>
      <c r="P9" s="393"/>
      <c r="Q9" s="368"/>
      <c r="R9" s="393"/>
      <c r="S9" s="393"/>
      <c r="T9" s="393"/>
      <c r="U9" s="393"/>
      <c r="V9" s="393"/>
      <c r="W9" s="368"/>
      <c r="X9" s="486"/>
      <c r="Y9" s="393"/>
      <c r="Z9" s="393"/>
      <c r="AA9" s="203" t="s">
        <v>231</v>
      </c>
      <c r="AB9" s="392"/>
      <c r="AC9" s="490"/>
    </row>
    <row r="10" spans="1:29" s="7" customFormat="1" ht="33.75" customHeight="1">
      <c r="A10" s="455">
        <v>1</v>
      </c>
      <c r="B10" s="481"/>
      <c r="C10" s="13"/>
      <c r="D10" s="273" t="s">
        <v>177</v>
      </c>
      <c r="E10" s="216"/>
      <c r="F10" s="217"/>
      <c r="G10" s="217"/>
      <c r="H10" s="218"/>
      <c r="I10" s="217"/>
      <c r="J10" s="218"/>
      <c r="K10" s="217"/>
      <c r="L10" s="218"/>
      <c r="M10" s="217"/>
      <c r="N10" s="218"/>
      <c r="O10" s="217"/>
      <c r="P10" s="218"/>
      <c r="Q10" s="217"/>
      <c r="R10" s="218"/>
      <c r="S10" s="217"/>
      <c r="T10" s="218"/>
      <c r="U10" s="217"/>
      <c r="V10" s="217"/>
      <c r="W10" s="217"/>
      <c r="X10" s="219"/>
      <c r="Y10" s="217"/>
      <c r="Z10" s="217"/>
      <c r="AA10" s="217"/>
      <c r="AB10" s="196"/>
      <c r="AC10" s="460">
        <f>SUM($E11:$G11)-SUM($I11:$AA11)+$AC$7</f>
        <v>0</v>
      </c>
    </row>
    <row r="11" spans="1:29" s="7" customFormat="1" ht="33.75" customHeight="1" thickBot="1">
      <c r="A11" s="459"/>
      <c r="B11" s="487"/>
      <c r="C11" s="15"/>
      <c r="D11" s="274" t="s">
        <v>105</v>
      </c>
      <c r="E11" s="277"/>
      <c r="F11" s="278"/>
      <c r="G11" s="278"/>
      <c r="H11" s="276"/>
      <c r="I11" s="278"/>
      <c r="J11" s="276"/>
      <c r="K11" s="278"/>
      <c r="L11" s="276"/>
      <c r="M11" s="278"/>
      <c r="N11" s="276"/>
      <c r="O11" s="278"/>
      <c r="P11" s="276"/>
      <c r="Q11" s="278"/>
      <c r="R11" s="276"/>
      <c r="S11" s="278"/>
      <c r="T11" s="276"/>
      <c r="U11" s="278"/>
      <c r="V11" s="278"/>
      <c r="W11" s="278"/>
      <c r="X11" s="284"/>
      <c r="Y11" s="278"/>
      <c r="Z11" s="278"/>
      <c r="AA11" s="278"/>
      <c r="AB11" s="197"/>
      <c r="AC11" s="454"/>
    </row>
    <row r="12" spans="1:29" s="7" customFormat="1" ht="33.75" customHeight="1">
      <c r="A12" s="449">
        <v>2</v>
      </c>
      <c r="B12" s="483"/>
      <c r="C12" s="13"/>
      <c r="D12" s="273" t="s">
        <v>177</v>
      </c>
      <c r="E12" s="216"/>
      <c r="F12" s="217"/>
      <c r="G12" s="217"/>
      <c r="H12" s="218"/>
      <c r="I12" s="218"/>
      <c r="J12" s="218"/>
      <c r="K12" s="218"/>
      <c r="L12" s="218"/>
      <c r="M12" s="218"/>
      <c r="N12" s="218"/>
      <c r="O12" s="218"/>
      <c r="P12" s="218"/>
      <c r="Q12" s="218"/>
      <c r="R12" s="218"/>
      <c r="S12" s="218"/>
      <c r="T12" s="218"/>
      <c r="U12" s="218"/>
      <c r="V12" s="218"/>
      <c r="W12" s="218"/>
      <c r="X12" s="221"/>
      <c r="Y12" s="218"/>
      <c r="Z12" s="218"/>
      <c r="AA12" s="218"/>
      <c r="AB12" s="196"/>
      <c r="AC12" s="453">
        <f>SUM($E13:$G13)-SUM($I13:$AA13)+$AC10</f>
        <v>0</v>
      </c>
    </row>
    <row r="13" spans="1:29" s="7" customFormat="1" ht="33.75" customHeight="1" thickBot="1">
      <c r="A13" s="450"/>
      <c r="B13" s="482"/>
      <c r="C13" s="15"/>
      <c r="D13" s="274" t="s">
        <v>105</v>
      </c>
      <c r="E13" s="277"/>
      <c r="F13" s="278"/>
      <c r="G13" s="278"/>
      <c r="H13" s="276"/>
      <c r="I13" s="276"/>
      <c r="J13" s="276"/>
      <c r="K13" s="276"/>
      <c r="L13" s="276"/>
      <c r="M13" s="276"/>
      <c r="N13" s="276"/>
      <c r="O13" s="276"/>
      <c r="P13" s="276"/>
      <c r="Q13" s="276"/>
      <c r="R13" s="276"/>
      <c r="S13" s="276"/>
      <c r="T13" s="276"/>
      <c r="U13" s="276"/>
      <c r="V13" s="276"/>
      <c r="W13" s="276"/>
      <c r="X13" s="279"/>
      <c r="Y13" s="276"/>
      <c r="Z13" s="276"/>
      <c r="AA13" s="276"/>
      <c r="AB13" s="197"/>
      <c r="AC13" s="454"/>
    </row>
    <row r="14" spans="1:29" s="7" customFormat="1" ht="33.75" customHeight="1">
      <c r="A14" s="455">
        <v>3</v>
      </c>
      <c r="B14" s="481"/>
      <c r="C14" s="13"/>
      <c r="D14" s="273" t="s">
        <v>177</v>
      </c>
      <c r="E14" s="216"/>
      <c r="F14" s="217"/>
      <c r="G14" s="217"/>
      <c r="H14" s="218"/>
      <c r="I14" s="218"/>
      <c r="J14" s="218"/>
      <c r="K14" s="218"/>
      <c r="L14" s="218"/>
      <c r="M14" s="218"/>
      <c r="N14" s="218"/>
      <c r="O14" s="218"/>
      <c r="P14" s="218"/>
      <c r="Q14" s="218"/>
      <c r="R14" s="218"/>
      <c r="S14" s="218"/>
      <c r="T14" s="218"/>
      <c r="U14" s="218"/>
      <c r="V14" s="218"/>
      <c r="W14" s="218"/>
      <c r="X14" s="221"/>
      <c r="Y14" s="218"/>
      <c r="Z14" s="218"/>
      <c r="AA14" s="218"/>
      <c r="AB14" s="196"/>
      <c r="AC14" s="453">
        <f>SUM($E15:$G15)-SUM($I15:$AA15)+$AC12</f>
        <v>0</v>
      </c>
    </row>
    <row r="15" spans="1:29" s="7" customFormat="1" ht="33.75" customHeight="1" thickBot="1">
      <c r="A15" s="456"/>
      <c r="B15" s="482"/>
      <c r="C15" s="15"/>
      <c r="D15" s="274" t="s">
        <v>105</v>
      </c>
      <c r="E15" s="277"/>
      <c r="F15" s="278"/>
      <c r="G15" s="278"/>
      <c r="H15" s="276"/>
      <c r="I15" s="276"/>
      <c r="J15" s="276"/>
      <c r="K15" s="276"/>
      <c r="L15" s="276"/>
      <c r="M15" s="276"/>
      <c r="N15" s="276"/>
      <c r="O15" s="276"/>
      <c r="P15" s="276"/>
      <c r="Q15" s="276"/>
      <c r="R15" s="276"/>
      <c r="S15" s="276"/>
      <c r="T15" s="276"/>
      <c r="U15" s="276"/>
      <c r="V15" s="276"/>
      <c r="W15" s="276"/>
      <c r="X15" s="279"/>
      <c r="Y15" s="276"/>
      <c r="Z15" s="276"/>
      <c r="AA15" s="276"/>
      <c r="AB15" s="197"/>
      <c r="AC15" s="454"/>
    </row>
    <row r="16" spans="1:29" s="7" customFormat="1" ht="33.75" customHeight="1">
      <c r="A16" s="464">
        <v>4</v>
      </c>
      <c r="B16" s="481"/>
      <c r="C16" s="13"/>
      <c r="D16" s="273" t="s">
        <v>177</v>
      </c>
      <c r="E16" s="216"/>
      <c r="F16" s="217"/>
      <c r="G16" s="217"/>
      <c r="H16" s="218"/>
      <c r="I16" s="218"/>
      <c r="J16" s="218"/>
      <c r="K16" s="218"/>
      <c r="L16" s="218"/>
      <c r="M16" s="218"/>
      <c r="N16" s="218"/>
      <c r="O16" s="218"/>
      <c r="P16" s="218"/>
      <c r="Q16" s="218"/>
      <c r="R16" s="218"/>
      <c r="S16" s="218"/>
      <c r="T16" s="218"/>
      <c r="U16" s="218"/>
      <c r="V16" s="218"/>
      <c r="W16" s="218"/>
      <c r="X16" s="221"/>
      <c r="Y16" s="218"/>
      <c r="Z16" s="218"/>
      <c r="AA16" s="218"/>
      <c r="AB16" s="196"/>
      <c r="AC16" s="453">
        <f t="shared" ref="AC16" si="0">SUM($E17:$G17)-SUM($I17:$AA17)+$AC14</f>
        <v>0</v>
      </c>
    </row>
    <row r="17" spans="1:29" s="7" customFormat="1" ht="33.75" customHeight="1" thickBot="1">
      <c r="A17" s="450"/>
      <c r="B17" s="482"/>
      <c r="C17" s="15"/>
      <c r="D17" s="274" t="s">
        <v>105</v>
      </c>
      <c r="E17" s="277"/>
      <c r="F17" s="278"/>
      <c r="G17" s="278"/>
      <c r="H17" s="276"/>
      <c r="I17" s="276"/>
      <c r="J17" s="276"/>
      <c r="K17" s="276"/>
      <c r="L17" s="276"/>
      <c r="M17" s="276"/>
      <c r="N17" s="276"/>
      <c r="O17" s="276"/>
      <c r="P17" s="276"/>
      <c r="Q17" s="276"/>
      <c r="R17" s="276"/>
      <c r="S17" s="276"/>
      <c r="T17" s="276"/>
      <c r="U17" s="276"/>
      <c r="V17" s="276"/>
      <c r="W17" s="276"/>
      <c r="X17" s="279"/>
      <c r="Y17" s="276"/>
      <c r="Z17" s="276"/>
      <c r="AA17" s="276"/>
      <c r="AB17" s="197"/>
      <c r="AC17" s="454"/>
    </row>
    <row r="18" spans="1:29" s="7" customFormat="1" ht="33.75" customHeight="1">
      <c r="A18" s="455">
        <v>5</v>
      </c>
      <c r="B18" s="481"/>
      <c r="C18" s="13"/>
      <c r="D18" s="273" t="s">
        <v>177</v>
      </c>
      <c r="E18" s="216"/>
      <c r="F18" s="217"/>
      <c r="G18" s="217"/>
      <c r="H18" s="218"/>
      <c r="I18" s="218"/>
      <c r="J18" s="218"/>
      <c r="K18" s="218"/>
      <c r="L18" s="218"/>
      <c r="M18" s="218"/>
      <c r="N18" s="218"/>
      <c r="O18" s="218"/>
      <c r="P18" s="218"/>
      <c r="Q18" s="218"/>
      <c r="R18" s="218"/>
      <c r="S18" s="218"/>
      <c r="T18" s="218"/>
      <c r="U18" s="218"/>
      <c r="V18" s="218"/>
      <c r="W18" s="218"/>
      <c r="X18" s="221"/>
      <c r="Y18" s="218"/>
      <c r="Z18" s="218"/>
      <c r="AA18" s="218"/>
      <c r="AB18" s="196"/>
      <c r="AC18" s="453">
        <f t="shared" ref="AC18" si="1">SUM($E19:$G19)-SUM($I19:$AA19)+$AC16</f>
        <v>0</v>
      </c>
    </row>
    <row r="19" spans="1:29" s="7" customFormat="1" ht="33.75" customHeight="1" thickBot="1">
      <c r="A19" s="456"/>
      <c r="B19" s="482"/>
      <c r="C19" s="15"/>
      <c r="D19" s="274" t="s">
        <v>105</v>
      </c>
      <c r="E19" s="277"/>
      <c r="F19" s="278"/>
      <c r="G19" s="278"/>
      <c r="H19" s="276"/>
      <c r="I19" s="276"/>
      <c r="J19" s="276"/>
      <c r="K19" s="276"/>
      <c r="L19" s="276"/>
      <c r="M19" s="276"/>
      <c r="N19" s="276"/>
      <c r="O19" s="276"/>
      <c r="P19" s="276"/>
      <c r="Q19" s="276"/>
      <c r="R19" s="276"/>
      <c r="S19" s="276"/>
      <c r="T19" s="276"/>
      <c r="U19" s="276"/>
      <c r="V19" s="276"/>
      <c r="W19" s="276"/>
      <c r="X19" s="279"/>
      <c r="Y19" s="276"/>
      <c r="Z19" s="276"/>
      <c r="AA19" s="276"/>
      <c r="AB19" s="197"/>
      <c r="AC19" s="454"/>
    </row>
    <row r="20" spans="1:29" s="7" customFormat="1" ht="33.75" customHeight="1">
      <c r="A20" s="464">
        <v>6</v>
      </c>
      <c r="B20" s="481"/>
      <c r="C20" s="13"/>
      <c r="D20" s="273" t="s">
        <v>177</v>
      </c>
      <c r="E20" s="216"/>
      <c r="F20" s="217"/>
      <c r="G20" s="217"/>
      <c r="H20" s="218"/>
      <c r="I20" s="218"/>
      <c r="J20" s="218"/>
      <c r="K20" s="218"/>
      <c r="L20" s="218"/>
      <c r="M20" s="218"/>
      <c r="N20" s="218"/>
      <c r="O20" s="218"/>
      <c r="P20" s="218"/>
      <c r="Q20" s="218"/>
      <c r="R20" s="218"/>
      <c r="S20" s="218"/>
      <c r="T20" s="218"/>
      <c r="U20" s="218"/>
      <c r="V20" s="218"/>
      <c r="W20" s="218"/>
      <c r="X20" s="221"/>
      <c r="Y20" s="218"/>
      <c r="Z20" s="218"/>
      <c r="AA20" s="218"/>
      <c r="AB20" s="196"/>
      <c r="AC20" s="453">
        <f t="shared" ref="AC20" si="2">SUM($E21:$G21)-SUM($I21:$AA21)+$AC18</f>
        <v>0</v>
      </c>
    </row>
    <row r="21" spans="1:29" s="7" customFormat="1" ht="33.75" customHeight="1" thickBot="1">
      <c r="A21" s="450"/>
      <c r="B21" s="482"/>
      <c r="C21" s="15"/>
      <c r="D21" s="274" t="s">
        <v>105</v>
      </c>
      <c r="E21" s="277"/>
      <c r="F21" s="278"/>
      <c r="G21" s="278"/>
      <c r="H21" s="276"/>
      <c r="I21" s="276"/>
      <c r="J21" s="276"/>
      <c r="K21" s="276"/>
      <c r="L21" s="276"/>
      <c r="M21" s="276"/>
      <c r="N21" s="276"/>
      <c r="O21" s="276"/>
      <c r="P21" s="276"/>
      <c r="Q21" s="276"/>
      <c r="R21" s="276"/>
      <c r="S21" s="276"/>
      <c r="T21" s="276"/>
      <c r="U21" s="276"/>
      <c r="V21" s="276"/>
      <c r="W21" s="276"/>
      <c r="X21" s="279"/>
      <c r="Y21" s="276"/>
      <c r="Z21" s="276"/>
      <c r="AA21" s="276"/>
      <c r="AB21" s="197"/>
      <c r="AC21" s="454"/>
    </row>
    <row r="22" spans="1:29" s="7" customFormat="1" ht="33.75" customHeight="1">
      <c r="A22" s="455">
        <v>7</v>
      </c>
      <c r="B22" s="481"/>
      <c r="C22" s="13"/>
      <c r="D22" s="273" t="s">
        <v>177</v>
      </c>
      <c r="E22" s="216"/>
      <c r="F22" s="217"/>
      <c r="G22" s="217"/>
      <c r="H22" s="218"/>
      <c r="I22" s="218"/>
      <c r="J22" s="218"/>
      <c r="K22" s="218"/>
      <c r="L22" s="218"/>
      <c r="M22" s="218"/>
      <c r="N22" s="218"/>
      <c r="O22" s="218"/>
      <c r="P22" s="218"/>
      <c r="Q22" s="218"/>
      <c r="R22" s="218"/>
      <c r="S22" s="218"/>
      <c r="T22" s="218"/>
      <c r="U22" s="218"/>
      <c r="V22" s="218"/>
      <c r="W22" s="218"/>
      <c r="X22" s="221"/>
      <c r="Y22" s="218"/>
      <c r="Z22" s="218"/>
      <c r="AA22" s="218"/>
      <c r="AB22" s="196"/>
      <c r="AC22" s="453">
        <f t="shared" ref="AC22" si="3">SUM($E23:$G23)-SUM($I23:$AA23)+$AC20</f>
        <v>0</v>
      </c>
    </row>
    <row r="23" spans="1:29" s="7" customFormat="1" ht="33.75" customHeight="1" thickBot="1">
      <c r="A23" s="456"/>
      <c r="B23" s="482"/>
      <c r="C23" s="15"/>
      <c r="D23" s="274" t="s">
        <v>105</v>
      </c>
      <c r="E23" s="277"/>
      <c r="F23" s="278"/>
      <c r="G23" s="278"/>
      <c r="H23" s="276"/>
      <c r="I23" s="276"/>
      <c r="J23" s="276"/>
      <c r="K23" s="276"/>
      <c r="L23" s="276"/>
      <c r="M23" s="276"/>
      <c r="N23" s="276"/>
      <c r="O23" s="276"/>
      <c r="P23" s="276"/>
      <c r="Q23" s="276"/>
      <c r="R23" s="276"/>
      <c r="S23" s="276"/>
      <c r="T23" s="276"/>
      <c r="U23" s="276"/>
      <c r="V23" s="276"/>
      <c r="W23" s="276"/>
      <c r="X23" s="279"/>
      <c r="Y23" s="276"/>
      <c r="Z23" s="276"/>
      <c r="AA23" s="276"/>
      <c r="AB23" s="197"/>
      <c r="AC23" s="454"/>
    </row>
    <row r="24" spans="1:29" s="7" customFormat="1" ht="33.75" customHeight="1">
      <c r="A24" s="464">
        <v>8</v>
      </c>
      <c r="B24" s="481"/>
      <c r="C24" s="13"/>
      <c r="D24" s="273" t="s">
        <v>177</v>
      </c>
      <c r="E24" s="216"/>
      <c r="F24" s="217"/>
      <c r="G24" s="217"/>
      <c r="H24" s="218"/>
      <c r="I24" s="218"/>
      <c r="J24" s="218"/>
      <c r="K24" s="218"/>
      <c r="L24" s="218"/>
      <c r="M24" s="218"/>
      <c r="N24" s="218"/>
      <c r="O24" s="218"/>
      <c r="P24" s="218"/>
      <c r="Q24" s="218"/>
      <c r="R24" s="218"/>
      <c r="S24" s="218"/>
      <c r="T24" s="218"/>
      <c r="U24" s="218"/>
      <c r="V24" s="218"/>
      <c r="W24" s="218"/>
      <c r="X24" s="221"/>
      <c r="Y24" s="218"/>
      <c r="Z24" s="218"/>
      <c r="AA24" s="218"/>
      <c r="AB24" s="196"/>
      <c r="AC24" s="453">
        <f t="shared" ref="AC24" si="4">SUM($E25:$G25)-SUM($I25:$AA25)+$AC22</f>
        <v>0</v>
      </c>
    </row>
    <row r="25" spans="1:29" s="7" customFormat="1" ht="33.75" customHeight="1" thickBot="1">
      <c r="A25" s="450"/>
      <c r="B25" s="482"/>
      <c r="C25" s="15"/>
      <c r="D25" s="274" t="s">
        <v>105</v>
      </c>
      <c r="E25" s="277"/>
      <c r="F25" s="278"/>
      <c r="G25" s="278"/>
      <c r="H25" s="276"/>
      <c r="I25" s="276"/>
      <c r="J25" s="276"/>
      <c r="K25" s="276"/>
      <c r="L25" s="276"/>
      <c r="M25" s="276"/>
      <c r="N25" s="276"/>
      <c r="O25" s="276"/>
      <c r="P25" s="276"/>
      <c r="Q25" s="276"/>
      <c r="R25" s="276"/>
      <c r="S25" s="276"/>
      <c r="T25" s="276"/>
      <c r="U25" s="276"/>
      <c r="V25" s="276"/>
      <c r="W25" s="276"/>
      <c r="X25" s="279"/>
      <c r="Y25" s="276"/>
      <c r="Z25" s="276"/>
      <c r="AA25" s="276"/>
      <c r="AB25" s="197"/>
      <c r="AC25" s="454"/>
    </row>
    <row r="26" spans="1:29" s="7" customFormat="1" ht="33.75" customHeight="1">
      <c r="A26" s="455">
        <v>9</v>
      </c>
      <c r="B26" s="481"/>
      <c r="C26" s="13"/>
      <c r="D26" s="273" t="s">
        <v>177</v>
      </c>
      <c r="E26" s="216"/>
      <c r="F26" s="217"/>
      <c r="G26" s="217"/>
      <c r="H26" s="218"/>
      <c r="I26" s="218"/>
      <c r="J26" s="218"/>
      <c r="K26" s="218"/>
      <c r="L26" s="218"/>
      <c r="M26" s="218"/>
      <c r="N26" s="218"/>
      <c r="O26" s="218"/>
      <c r="P26" s="218"/>
      <c r="Q26" s="218"/>
      <c r="R26" s="218"/>
      <c r="S26" s="218"/>
      <c r="T26" s="218"/>
      <c r="U26" s="218"/>
      <c r="V26" s="218"/>
      <c r="W26" s="218"/>
      <c r="X26" s="221"/>
      <c r="Y26" s="218"/>
      <c r="Z26" s="218"/>
      <c r="AA26" s="218"/>
      <c r="AB26" s="196"/>
      <c r="AC26" s="453">
        <f t="shared" ref="AC26" si="5">SUM($E27:$G27)-SUM($I27:$AA27)+$AC24</f>
        <v>0</v>
      </c>
    </row>
    <row r="27" spans="1:29" s="7" customFormat="1" ht="33.75" customHeight="1" thickBot="1">
      <c r="A27" s="456"/>
      <c r="B27" s="482"/>
      <c r="C27" s="15"/>
      <c r="D27" s="274" t="s">
        <v>105</v>
      </c>
      <c r="E27" s="277"/>
      <c r="F27" s="278"/>
      <c r="G27" s="278"/>
      <c r="H27" s="276"/>
      <c r="I27" s="276"/>
      <c r="J27" s="276"/>
      <c r="K27" s="276"/>
      <c r="L27" s="276"/>
      <c r="M27" s="276"/>
      <c r="N27" s="276"/>
      <c r="O27" s="276"/>
      <c r="P27" s="276"/>
      <c r="Q27" s="276"/>
      <c r="R27" s="276"/>
      <c r="S27" s="276"/>
      <c r="T27" s="276"/>
      <c r="U27" s="276"/>
      <c r="V27" s="276"/>
      <c r="W27" s="276"/>
      <c r="X27" s="279"/>
      <c r="Y27" s="276"/>
      <c r="Z27" s="276"/>
      <c r="AA27" s="276"/>
      <c r="AB27" s="197"/>
      <c r="AC27" s="454"/>
    </row>
    <row r="28" spans="1:29" s="7" customFormat="1" ht="33.75" customHeight="1">
      <c r="A28" s="464">
        <v>10</v>
      </c>
      <c r="B28" s="481"/>
      <c r="C28" s="13"/>
      <c r="D28" s="273" t="s">
        <v>177</v>
      </c>
      <c r="E28" s="216"/>
      <c r="F28" s="217"/>
      <c r="G28" s="217"/>
      <c r="H28" s="218"/>
      <c r="I28" s="218"/>
      <c r="J28" s="218"/>
      <c r="K28" s="218"/>
      <c r="L28" s="218"/>
      <c r="M28" s="218"/>
      <c r="N28" s="218"/>
      <c r="O28" s="218"/>
      <c r="P28" s="218"/>
      <c r="Q28" s="218"/>
      <c r="R28" s="218"/>
      <c r="S28" s="218"/>
      <c r="T28" s="218"/>
      <c r="U28" s="218"/>
      <c r="V28" s="218"/>
      <c r="W28" s="218"/>
      <c r="X28" s="221"/>
      <c r="Y28" s="218"/>
      <c r="Z28" s="218"/>
      <c r="AA28" s="218"/>
      <c r="AB28" s="196"/>
      <c r="AC28" s="453">
        <f t="shared" ref="AC28" si="6">SUM($E29:$G29)-SUM($I29:$AA29)+$AC26</f>
        <v>0</v>
      </c>
    </row>
    <row r="29" spans="1:29" s="7" customFormat="1" ht="33.75" customHeight="1" thickBot="1">
      <c r="A29" s="450"/>
      <c r="B29" s="482"/>
      <c r="C29" s="15"/>
      <c r="D29" s="274" t="s">
        <v>105</v>
      </c>
      <c r="E29" s="277"/>
      <c r="F29" s="278"/>
      <c r="G29" s="278"/>
      <c r="H29" s="276"/>
      <c r="I29" s="276"/>
      <c r="J29" s="276"/>
      <c r="K29" s="276"/>
      <c r="L29" s="276"/>
      <c r="M29" s="276"/>
      <c r="N29" s="276"/>
      <c r="O29" s="276"/>
      <c r="P29" s="276"/>
      <c r="Q29" s="276"/>
      <c r="R29" s="276"/>
      <c r="S29" s="276"/>
      <c r="T29" s="276"/>
      <c r="U29" s="276"/>
      <c r="V29" s="276"/>
      <c r="W29" s="276"/>
      <c r="X29" s="279"/>
      <c r="Y29" s="276"/>
      <c r="Z29" s="276"/>
      <c r="AA29" s="276"/>
      <c r="AB29" s="197"/>
      <c r="AC29" s="454"/>
    </row>
    <row r="30" spans="1:29" s="7" customFormat="1" ht="33.75" customHeight="1">
      <c r="A30" s="455">
        <v>11</v>
      </c>
      <c r="B30" s="481"/>
      <c r="C30" s="13"/>
      <c r="D30" s="273" t="s">
        <v>177</v>
      </c>
      <c r="E30" s="216"/>
      <c r="F30" s="217"/>
      <c r="G30" s="217"/>
      <c r="H30" s="218"/>
      <c r="I30" s="218"/>
      <c r="J30" s="218"/>
      <c r="K30" s="218"/>
      <c r="L30" s="218"/>
      <c r="M30" s="218"/>
      <c r="N30" s="218"/>
      <c r="O30" s="218"/>
      <c r="P30" s="218"/>
      <c r="Q30" s="218"/>
      <c r="R30" s="218"/>
      <c r="S30" s="218"/>
      <c r="T30" s="218"/>
      <c r="U30" s="218"/>
      <c r="V30" s="218"/>
      <c r="W30" s="218"/>
      <c r="X30" s="221"/>
      <c r="Y30" s="218"/>
      <c r="Z30" s="218"/>
      <c r="AA30" s="218"/>
      <c r="AB30" s="196"/>
      <c r="AC30" s="453">
        <f t="shared" ref="AC30" si="7">SUM($E31:$G31)-SUM($I31:$AA31)+$AC28</f>
        <v>0</v>
      </c>
    </row>
    <row r="31" spans="1:29" s="7" customFormat="1" ht="33.75" customHeight="1" thickBot="1">
      <c r="A31" s="456"/>
      <c r="B31" s="482"/>
      <c r="C31" s="15"/>
      <c r="D31" s="274" t="s">
        <v>105</v>
      </c>
      <c r="E31" s="277"/>
      <c r="F31" s="278"/>
      <c r="G31" s="278"/>
      <c r="H31" s="276"/>
      <c r="I31" s="276"/>
      <c r="J31" s="276"/>
      <c r="K31" s="276"/>
      <c r="L31" s="276"/>
      <c r="M31" s="276"/>
      <c r="N31" s="276"/>
      <c r="O31" s="276"/>
      <c r="P31" s="276"/>
      <c r="Q31" s="276"/>
      <c r="R31" s="276"/>
      <c r="S31" s="276"/>
      <c r="T31" s="276"/>
      <c r="U31" s="276"/>
      <c r="V31" s="276"/>
      <c r="W31" s="276"/>
      <c r="X31" s="279"/>
      <c r="Y31" s="276"/>
      <c r="Z31" s="276"/>
      <c r="AA31" s="276"/>
      <c r="AB31" s="197"/>
      <c r="AC31" s="454"/>
    </row>
    <row r="32" spans="1:29" s="7" customFormat="1" ht="33.75" customHeight="1">
      <c r="A32" s="464">
        <v>12</v>
      </c>
      <c r="B32" s="481"/>
      <c r="C32" s="13"/>
      <c r="D32" s="273" t="s">
        <v>177</v>
      </c>
      <c r="E32" s="216"/>
      <c r="F32" s="217"/>
      <c r="G32" s="217"/>
      <c r="H32" s="218"/>
      <c r="I32" s="218"/>
      <c r="J32" s="218"/>
      <c r="K32" s="218"/>
      <c r="L32" s="218"/>
      <c r="M32" s="218"/>
      <c r="N32" s="218"/>
      <c r="O32" s="218"/>
      <c r="P32" s="218"/>
      <c r="Q32" s="218"/>
      <c r="R32" s="218"/>
      <c r="S32" s="218"/>
      <c r="T32" s="218"/>
      <c r="U32" s="218"/>
      <c r="V32" s="218"/>
      <c r="W32" s="218"/>
      <c r="X32" s="221"/>
      <c r="Y32" s="218"/>
      <c r="Z32" s="218"/>
      <c r="AA32" s="218"/>
      <c r="AB32" s="196"/>
      <c r="AC32" s="453">
        <f t="shared" ref="AC32" si="8">SUM($E33:$G33)-SUM($I33:$AA33)+$AC30</f>
        <v>0</v>
      </c>
    </row>
    <row r="33" spans="1:29" s="7" customFormat="1" ht="33.75" customHeight="1" thickBot="1">
      <c r="A33" s="450"/>
      <c r="B33" s="482"/>
      <c r="C33" s="15"/>
      <c r="D33" s="274" t="s">
        <v>105</v>
      </c>
      <c r="E33" s="277"/>
      <c r="F33" s="278"/>
      <c r="G33" s="278"/>
      <c r="H33" s="276"/>
      <c r="I33" s="276"/>
      <c r="J33" s="276"/>
      <c r="K33" s="276"/>
      <c r="L33" s="276"/>
      <c r="M33" s="276"/>
      <c r="N33" s="276"/>
      <c r="O33" s="276"/>
      <c r="P33" s="276"/>
      <c r="Q33" s="276"/>
      <c r="R33" s="276"/>
      <c r="S33" s="276"/>
      <c r="T33" s="276"/>
      <c r="U33" s="276"/>
      <c r="V33" s="276"/>
      <c r="W33" s="276"/>
      <c r="X33" s="279"/>
      <c r="Y33" s="276"/>
      <c r="Z33" s="276"/>
      <c r="AA33" s="276"/>
      <c r="AB33" s="197"/>
      <c r="AC33" s="454"/>
    </row>
    <row r="34" spans="1:29" s="7" customFormat="1" ht="33.75" customHeight="1">
      <c r="A34" s="455">
        <v>13</v>
      </c>
      <c r="B34" s="481"/>
      <c r="C34" s="13"/>
      <c r="D34" s="273" t="s">
        <v>177</v>
      </c>
      <c r="E34" s="216"/>
      <c r="F34" s="217"/>
      <c r="G34" s="217"/>
      <c r="H34" s="218"/>
      <c r="I34" s="218"/>
      <c r="J34" s="218"/>
      <c r="K34" s="218"/>
      <c r="L34" s="218"/>
      <c r="M34" s="218"/>
      <c r="N34" s="218"/>
      <c r="O34" s="218"/>
      <c r="P34" s="218"/>
      <c r="Q34" s="218"/>
      <c r="R34" s="218"/>
      <c r="S34" s="218"/>
      <c r="T34" s="218"/>
      <c r="U34" s="218"/>
      <c r="V34" s="218"/>
      <c r="W34" s="218"/>
      <c r="X34" s="221"/>
      <c r="Y34" s="218"/>
      <c r="Z34" s="218"/>
      <c r="AA34" s="218"/>
      <c r="AB34" s="196"/>
      <c r="AC34" s="453">
        <f>SUM($E35:$G35)-SUM($I35:$AA35)+$AC32</f>
        <v>0</v>
      </c>
    </row>
    <row r="35" spans="1:29" s="7" customFormat="1" ht="33.75" customHeight="1" thickBot="1">
      <c r="A35" s="456"/>
      <c r="B35" s="482"/>
      <c r="C35" s="15"/>
      <c r="D35" s="274" t="s">
        <v>105</v>
      </c>
      <c r="E35" s="277"/>
      <c r="F35" s="278"/>
      <c r="G35" s="278"/>
      <c r="H35" s="276"/>
      <c r="I35" s="276"/>
      <c r="J35" s="276"/>
      <c r="K35" s="276"/>
      <c r="L35" s="276"/>
      <c r="M35" s="276"/>
      <c r="N35" s="276"/>
      <c r="O35" s="276"/>
      <c r="P35" s="276"/>
      <c r="Q35" s="276"/>
      <c r="R35" s="276"/>
      <c r="S35" s="276"/>
      <c r="T35" s="276"/>
      <c r="U35" s="276"/>
      <c r="V35" s="276"/>
      <c r="W35" s="276"/>
      <c r="X35" s="279"/>
      <c r="Y35" s="276"/>
      <c r="Z35" s="276"/>
      <c r="AA35" s="276"/>
      <c r="AB35" s="197"/>
      <c r="AC35" s="454"/>
    </row>
    <row r="36" spans="1:29" s="7" customFormat="1" ht="33.75" customHeight="1">
      <c r="A36" s="464">
        <v>14</v>
      </c>
      <c r="B36" s="481"/>
      <c r="C36" s="13"/>
      <c r="D36" s="273" t="s">
        <v>177</v>
      </c>
      <c r="E36" s="216"/>
      <c r="F36" s="217"/>
      <c r="G36" s="217"/>
      <c r="H36" s="218"/>
      <c r="I36" s="218"/>
      <c r="J36" s="218"/>
      <c r="K36" s="218"/>
      <c r="L36" s="218"/>
      <c r="M36" s="218"/>
      <c r="N36" s="218"/>
      <c r="O36" s="218"/>
      <c r="P36" s="218"/>
      <c r="Q36" s="218"/>
      <c r="R36" s="218"/>
      <c r="S36" s="218"/>
      <c r="T36" s="218"/>
      <c r="U36" s="218"/>
      <c r="V36" s="218"/>
      <c r="W36" s="218"/>
      <c r="X36" s="221"/>
      <c r="Y36" s="218"/>
      <c r="Z36" s="218"/>
      <c r="AA36" s="218"/>
      <c r="AB36" s="196"/>
      <c r="AC36" s="453">
        <f t="shared" ref="AC36" si="9">SUM($E37:$G37)-SUM($I37:$AA37)+$AC34</f>
        <v>0</v>
      </c>
    </row>
    <row r="37" spans="1:29" s="7" customFormat="1" ht="33.75" customHeight="1" thickBot="1">
      <c r="A37" s="449"/>
      <c r="B37" s="483"/>
      <c r="C37" s="15"/>
      <c r="D37" s="199" t="s">
        <v>105</v>
      </c>
      <c r="E37" s="280"/>
      <c r="F37" s="281"/>
      <c r="G37" s="281"/>
      <c r="H37" s="282"/>
      <c r="I37" s="282"/>
      <c r="J37" s="282"/>
      <c r="K37" s="282"/>
      <c r="L37" s="282"/>
      <c r="M37" s="282"/>
      <c r="N37" s="282"/>
      <c r="O37" s="282"/>
      <c r="P37" s="282"/>
      <c r="Q37" s="282"/>
      <c r="R37" s="282"/>
      <c r="S37" s="282"/>
      <c r="T37" s="282"/>
      <c r="U37" s="282"/>
      <c r="V37" s="282"/>
      <c r="W37" s="282"/>
      <c r="X37" s="283"/>
      <c r="Y37" s="282"/>
      <c r="Z37" s="282"/>
      <c r="AA37" s="282"/>
      <c r="AB37" s="194"/>
      <c r="AC37" s="465"/>
    </row>
    <row r="38" spans="1:29" s="7" customFormat="1" ht="33.75" customHeight="1">
      <c r="A38" s="455">
        <v>15</v>
      </c>
      <c r="B38" s="479"/>
      <c r="C38" s="13"/>
      <c r="D38" s="273" t="s">
        <v>177</v>
      </c>
      <c r="E38" s="216"/>
      <c r="F38" s="217"/>
      <c r="G38" s="217"/>
      <c r="H38" s="218"/>
      <c r="I38" s="218"/>
      <c r="J38" s="218"/>
      <c r="K38" s="218"/>
      <c r="L38" s="218"/>
      <c r="M38" s="218"/>
      <c r="N38" s="218"/>
      <c r="O38" s="218"/>
      <c r="P38" s="218"/>
      <c r="Q38" s="218"/>
      <c r="R38" s="218"/>
      <c r="S38" s="218"/>
      <c r="T38" s="218"/>
      <c r="U38" s="218"/>
      <c r="V38" s="218"/>
      <c r="W38" s="218"/>
      <c r="X38" s="221"/>
      <c r="Y38" s="218"/>
      <c r="Z38" s="218"/>
      <c r="AA38" s="218"/>
      <c r="AB38" s="190"/>
      <c r="AC38" s="453">
        <f t="shared" ref="AC38" si="10">SUM($E39:$G39)-SUM($I39:$AA39)+$AC36</f>
        <v>0</v>
      </c>
    </row>
    <row r="39" spans="1:29" s="7" customFormat="1" ht="33.75" customHeight="1" thickBot="1">
      <c r="A39" s="459"/>
      <c r="B39" s="480"/>
      <c r="C39" s="15"/>
      <c r="D39" s="274" t="s">
        <v>105</v>
      </c>
      <c r="E39" s="277"/>
      <c r="F39" s="278"/>
      <c r="G39" s="278"/>
      <c r="H39" s="276"/>
      <c r="I39" s="276"/>
      <c r="J39" s="276"/>
      <c r="K39" s="276"/>
      <c r="L39" s="276"/>
      <c r="M39" s="276"/>
      <c r="N39" s="276"/>
      <c r="O39" s="276"/>
      <c r="P39" s="276"/>
      <c r="Q39" s="276"/>
      <c r="R39" s="276"/>
      <c r="S39" s="276"/>
      <c r="T39" s="276"/>
      <c r="U39" s="276"/>
      <c r="V39" s="276"/>
      <c r="W39" s="276"/>
      <c r="X39" s="279"/>
      <c r="Y39" s="276"/>
      <c r="Z39" s="276"/>
      <c r="AA39" s="276"/>
      <c r="AB39" s="191"/>
      <c r="AC39" s="454"/>
    </row>
    <row r="40" spans="1:29" s="7" customFormat="1" ht="33.75" customHeight="1">
      <c r="A40" s="466">
        <v>16</v>
      </c>
      <c r="B40" s="479"/>
      <c r="C40" s="13"/>
      <c r="D40" s="273" t="s">
        <v>177</v>
      </c>
      <c r="E40" s="216"/>
      <c r="F40" s="217"/>
      <c r="G40" s="217"/>
      <c r="H40" s="218"/>
      <c r="I40" s="218"/>
      <c r="J40" s="218"/>
      <c r="K40" s="218"/>
      <c r="L40" s="218"/>
      <c r="M40" s="218"/>
      <c r="N40" s="218"/>
      <c r="O40" s="218"/>
      <c r="P40" s="218"/>
      <c r="Q40" s="218"/>
      <c r="R40" s="218"/>
      <c r="S40" s="218"/>
      <c r="T40" s="218"/>
      <c r="U40" s="218"/>
      <c r="V40" s="218"/>
      <c r="W40" s="218"/>
      <c r="X40" s="221"/>
      <c r="Y40" s="218"/>
      <c r="Z40" s="218"/>
      <c r="AA40" s="218"/>
      <c r="AB40" s="190"/>
      <c r="AC40" s="453">
        <f t="shared" ref="AC40" si="11">SUM($E41:$G41)-SUM($I41:$AA41)+$AC38</f>
        <v>0</v>
      </c>
    </row>
    <row r="41" spans="1:29" s="7" customFormat="1" ht="33.75" customHeight="1" thickBot="1">
      <c r="A41" s="467"/>
      <c r="B41" s="480"/>
      <c r="C41" s="15"/>
      <c r="D41" s="274" t="s">
        <v>105</v>
      </c>
      <c r="E41" s="277"/>
      <c r="F41" s="278"/>
      <c r="G41" s="278"/>
      <c r="H41" s="276"/>
      <c r="I41" s="276"/>
      <c r="J41" s="276"/>
      <c r="K41" s="276"/>
      <c r="L41" s="276"/>
      <c r="M41" s="276"/>
      <c r="N41" s="276"/>
      <c r="O41" s="276"/>
      <c r="P41" s="276"/>
      <c r="Q41" s="276"/>
      <c r="R41" s="276"/>
      <c r="S41" s="276"/>
      <c r="T41" s="276"/>
      <c r="U41" s="276"/>
      <c r="V41" s="276"/>
      <c r="W41" s="276"/>
      <c r="X41" s="279"/>
      <c r="Y41" s="276"/>
      <c r="Z41" s="276"/>
      <c r="AA41" s="276"/>
      <c r="AB41" s="191"/>
      <c r="AC41" s="454"/>
    </row>
    <row r="42" spans="1:29" s="7" customFormat="1" ht="33.75" customHeight="1">
      <c r="A42" s="468">
        <v>17</v>
      </c>
      <c r="B42" s="483"/>
      <c r="C42" s="13"/>
      <c r="D42" s="275" t="s">
        <v>177</v>
      </c>
      <c r="E42" s="222"/>
      <c r="F42" s="223"/>
      <c r="G42" s="223"/>
      <c r="H42" s="224"/>
      <c r="I42" s="224"/>
      <c r="J42" s="224"/>
      <c r="K42" s="224"/>
      <c r="L42" s="224"/>
      <c r="M42" s="224"/>
      <c r="N42" s="224"/>
      <c r="O42" s="224"/>
      <c r="P42" s="224"/>
      <c r="Q42" s="224"/>
      <c r="R42" s="224"/>
      <c r="S42" s="224"/>
      <c r="T42" s="224"/>
      <c r="U42" s="224"/>
      <c r="V42" s="224"/>
      <c r="W42" s="224"/>
      <c r="X42" s="224"/>
      <c r="Y42" s="224"/>
      <c r="Z42" s="224"/>
      <c r="AA42" s="224"/>
      <c r="AB42" s="195"/>
      <c r="AC42" s="453">
        <f t="shared" ref="AC42" si="12">SUM($E43:$G43)-SUM($I43:$AA43)+$AC40</f>
        <v>0</v>
      </c>
    </row>
    <row r="43" spans="1:29" s="7" customFormat="1" ht="33.75" customHeight="1" thickBot="1">
      <c r="A43" s="459"/>
      <c r="B43" s="482"/>
      <c r="C43" s="15"/>
      <c r="D43" s="274" t="s">
        <v>105</v>
      </c>
      <c r="E43" s="277"/>
      <c r="F43" s="278"/>
      <c r="G43" s="278"/>
      <c r="H43" s="276"/>
      <c r="I43" s="276"/>
      <c r="J43" s="276"/>
      <c r="K43" s="276"/>
      <c r="L43" s="276"/>
      <c r="M43" s="276"/>
      <c r="N43" s="276"/>
      <c r="O43" s="276"/>
      <c r="P43" s="276"/>
      <c r="Q43" s="276"/>
      <c r="R43" s="276"/>
      <c r="S43" s="276"/>
      <c r="T43" s="276"/>
      <c r="U43" s="276"/>
      <c r="V43" s="276"/>
      <c r="W43" s="276"/>
      <c r="X43" s="276"/>
      <c r="Y43" s="276"/>
      <c r="Z43" s="276"/>
      <c r="AA43" s="276"/>
      <c r="AB43" s="197"/>
      <c r="AC43" s="454"/>
    </row>
    <row r="44" spans="1:29" s="7" customFormat="1" ht="33.75" customHeight="1">
      <c r="A44" s="455">
        <v>18</v>
      </c>
      <c r="B44" s="481"/>
      <c r="C44" s="13"/>
      <c r="D44" s="273" t="s">
        <v>177</v>
      </c>
      <c r="E44" s="216"/>
      <c r="F44" s="217"/>
      <c r="G44" s="217"/>
      <c r="H44" s="218"/>
      <c r="I44" s="218"/>
      <c r="J44" s="218"/>
      <c r="K44" s="218"/>
      <c r="L44" s="218"/>
      <c r="M44" s="218"/>
      <c r="N44" s="218"/>
      <c r="O44" s="218"/>
      <c r="P44" s="218"/>
      <c r="Q44" s="218"/>
      <c r="R44" s="218"/>
      <c r="S44" s="218"/>
      <c r="T44" s="218"/>
      <c r="U44" s="218"/>
      <c r="V44" s="218"/>
      <c r="W44" s="218"/>
      <c r="X44" s="218"/>
      <c r="Y44" s="218"/>
      <c r="Z44" s="218"/>
      <c r="AA44" s="218"/>
      <c r="AB44" s="196"/>
      <c r="AC44" s="453">
        <f t="shared" ref="AC44" si="13">SUM($E45:$G45)-SUM($I45:$AA45)+$AC42</f>
        <v>0</v>
      </c>
    </row>
    <row r="45" spans="1:29" s="7" customFormat="1" ht="33.75" customHeight="1" thickBot="1">
      <c r="A45" s="459"/>
      <c r="B45" s="482"/>
      <c r="C45" s="15"/>
      <c r="D45" s="274" t="s">
        <v>105</v>
      </c>
      <c r="E45" s="277"/>
      <c r="F45" s="278"/>
      <c r="G45" s="278"/>
      <c r="H45" s="276"/>
      <c r="I45" s="276"/>
      <c r="J45" s="276"/>
      <c r="K45" s="276"/>
      <c r="L45" s="276"/>
      <c r="M45" s="276"/>
      <c r="N45" s="276"/>
      <c r="O45" s="276"/>
      <c r="P45" s="276"/>
      <c r="Q45" s="276"/>
      <c r="R45" s="276"/>
      <c r="S45" s="276"/>
      <c r="T45" s="276"/>
      <c r="U45" s="276"/>
      <c r="V45" s="276"/>
      <c r="W45" s="276"/>
      <c r="X45" s="276"/>
      <c r="Y45" s="276"/>
      <c r="Z45" s="276"/>
      <c r="AA45" s="276"/>
      <c r="AB45" s="197"/>
      <c r="AC45" s="454"/>
    </row>
    <row r="46" spans="1:29" s="7" customFormat="1" ht="33.75" customHeight="1">
      <c r="A46" s="455">
        <v>19</v>
      </c>
      <c r="B46" s="481"/>
      <c r="C46" s="13"/>
      <c r="D46" s="273" t="s">
        <v>177</v>
      </c>
      <c r="E46" s="216"/>
      <c r="F46" s="217"/>
      <c r="G46" s="217"/>
      <c r="H46" s="218"/>
      <c r="I46" s="218"/>
      <c r="J46" s="218"/>
      <c r="K46" s="218"/>
      <c r="L46" s="218"/>
      <c r="M46" s="218"/>
      <c r="N46" s="218"/>
      <c r="O46" s="218"/>
      <c r="P46" s="218"/>
      <c r="Q46" s="218"/>
      <c r="R46" s="218"/>
      <c r="S46" s="218"/>
      <c r="T46" s="218"/>
      <c r="U46" s="218"/>
      <c r="V46" s="218"/>
      <c r="W46" s="218"/>
      <c r="X46" s="218"/>
      <c r="Y46" s="218"/>
      <c r="Z46" s="218"/>
      <c r="AA46" s="218"/>
      <c r="AB46" s="196"/>
      <c r="AC46" s="453">
        <f t="shared" ref="AC46" si="14">SUM($E47:$G47)-SUM($I47:$AA47)+$AC44</f>
        <v>0</v>
      </c>
    </row>
    <row r="47" spans="1:29" s="7" customFormat="1" ht="33.75" customHeight="1" thickBot="1">
      <c r="A47" s="459"/>
      <c r="B47" s="482"/>
      <c r="C47" s="15"/>
      <c r="D47" s="274" t="s">
        <v>105</v>
      </c>
      <c r="E47" s="277"/>
      <c r="F47" s="278"/>
      <c r="G47" s="278"/>
      <c r="H47" s="276"/>
      <c r="I47" s="276"/>
      <c r="J47" s="276"/>
      <c r="K47" s="276"/>
      <c r="L47" s="276"/>
      <c r="M47" s="276"/>
      <c r="N47" s="276"/>
      <c r="O47" s="276"/>
      <c r="P47" s="276"/>
      <c r="Q47" s="276"/>
      <c r="R47" s="276"/>
      <c r="S47" s="276"/>
      <c r="T47" s="276"/>
      <c r="U47" s="276"/>
      <c r="V47" s="276"/>
      <c r="W47" s="276"/>
      <c r="X47" s="276"/>
      <c r="Y47" s="276"/>
      <c r="Z47" s="276"/>
      <c r="AA47" s="276"/>
      <c r="AB47" s="197"/>
      <c r="AC47" s="454"/>
    </row>
    <row r="48" spans="1:29" s="7" customFormat="1" ht="33.75" customHeight="1">
      <c r="A48" s="455">
        <v>20</v>
      </c>
      <c r="B48" s="481"/>
      <c r="C48" s="13"/>
      <c r="D48" s="273" t="s">
        <v>177</v>
      </c>
      <c r="E48" s="216"/>
      <c r="F48" s="217"/>
      <c r="G48" s="217"/>
      <c r="H48" s="218"/>
      <c r="I48" s="218"/>
      <c r="J48" s="218"/>
      <c r="K48" s="218"/>
      <c r="L48" s="218"/>
      <c r="M48" s="218"/>
      <c r="N48" s="218"/>
      <c r="O48" s="218"/>
      <c r="P48" s="218"/>
      <c r="Q48" s="218"/>
      <c r="R48" s="218"/>
      <c r="S48" s="218"/>
      <c r="T48" s="218"/>
      <c r="U48" s="218"/>
      <c r="V48" s="218"/>
      <c r="W48" s="218"/>
      <c r="X48" s="218"/>
      <c r="Y48" s="218"/>
      <c r="Z48" s="218"/>
      <c r="AA48" s="218"/>
      <c r="AB48" s="196"/>
      <c r="AC48" s="453">
        <f t="shared" ref="AC48" si="15">SUM($E49:$G49)-SUM($I49:$AA49)+$AC46</f>
        <v>0</v>
      </c>
    </row>
    <row r="49" spans="1:29" s="7" customFormat="1" ht="33.75" customHeight="1" thickBot="1">
      <c r="A49" s="459"/>
      <c r="B49" s="482"/>
      <c r="C49" s="15"/>
      <c r="D49" s="274" t="s">
        <v>105</v>
      </c>
      <c r="E49" s="277"/>
      <c r="F49" s="278"/>
      <c r="G49" s="278"/>
      <c r="H49" s="276"/>
      <c r="I49" s="276"/>
      <c r="J49" s="276"/>
      <c r="K49" s="276"/>
      <c r="L49" s="276"/>
      <c r="M49" s="276"/>
      <c r="N49" s="276"/>
      <c r="O49" s="276"/>
      <c r="P49" s="276"/>
      <c r="Q49" s="276"/>
      <c r="R49" s="276"/>
      <c r="S49" s="276"/>
      <c r="T49" s="276"/>
      <c r="U49" s="276"/>
      <c r="V49" s="276"/>
      <c r="W49" s="276"/>
      <c r="X49" s="276"/>
      <c r="Y49" s="276"/>
      <c r="Z49" s="276"/>
      <c r="AA49" s="276"/>
      <c r="AB49" s="197"/>
      <c r="AC49" s="454"/>
    </row>
    <row r="50" spans="1:29" s="7" customFormat="1" ht="33.75" customHeight="1">
      <c r="A50" s="455">
        <v>21</v>
      </c>
      <c r="B50" s="481"/>
      <c r="C50" s="13"/>
      <c r="D50" s="273" t="s">
        <v>177</v>
      </c>
      <c r="E50" s="216"/>
      <c r="F50" s="217"/>
      <c r="G50" s="217"/>
      <c r="H50" s="218"/>
      <c r="I50" s="218"/>
      <c r="J50" s="218"/>
      <c r="K50" s="218"/>
      <c r="L50" s="218"/>
      <c r="M50" s="218"/>
      <c r="N50" s="218"/>
      <c r="O50" s="218"/>
      <c r="P50" s="218"/>
      <c r="Q50" s="218"/>
      <c r="R50" s="218"/>
      <c r="S50" s="218"/>
      <c r="T50" s="218"/>
      <c r="U50" s="218"/>
      <c r="V50" s="218"/>
      <c r="W50" s="218"/>
      <c r="X50" s="218"/>
      <c r="Y50" s="218"/>
      <c r="Z50" s="218"/>
      <c r="AA50" s="218"/>
      <c r="AB50" s="196"/>
      <c r="AC50" s="453">
        <f t="shared" ref="AC50" si="16">SUM($E51:$G51)-SUM($I51:$AA51)+$AC48</f>
        <v>0</v>
      </c>
    </row>
    <row r="51" spans="1:29" s="7" customFormat="1" ht="33.75" customHeight="1" thickBot="1">
      <c r="A51" s="459"/>
      <c r="B51" s="482"/>
      <c r="C51" s="15"/>
      <c r="D51" s="274" t="s">
        <v>105</v>
      </c>
      <c r="E51" s="277"/>
      <c r="F51" s="278"/>
      <c r="G51" s="278"/>
      <c r="H51" s="276"/>
      <c r="I51" s="276"/>
      <c r="J51" s="276"/>
      <c r="K51" s="276"/>
      <c r="L51" s="276"/>
      <c r="M51" s="276"/>
      <c r="N51" s="276"/>
      <c r="O51" s="276"/>
      <c r="P51" s="276"/>
      <c r="Q51" s="276"/>
      <c r="R51" s="276"/>
      <c r="S51" s="276"/>
      <c r="T51" s="276"/>
      <c r="U51" s="276"/>
      <c r="V51" s="276"/>
      <c r="W51" s="276"/>
      <c r="X51" s="276"/>
      <c r="Y51" s="276"/>
      <c r="Z51" s="276"/>
      <c r="AA51" s="276"/>
      <c r="AB51" s="197"/>
      <c r="AC51" s="454"/>
    </row>
    <row r="52" spans="1:29" s="7" customFormat="1" ht="33.75" customHeight="1">
      <c r="A52" s="455">
        <v>22</v>
      </c>
      <c r="B52" s="481"/>
      <c r="C52" s="13"/>
      <c r="D52" s="273" t="s">
        <v>177</v>
      </c>
      <c r="E52" s="216"/>
      <c r="F52" s="217"/>
      <c r="G52" s="217"/>
      <c r="H52" s="218"/>
      <c r="I52" s="218"/>
      <c r="J52" s="218"/>
      <c r="K52" s="218"/>
      <c r="L52" s="218"/>
      <c r="M52" s="218"/>
      <c r="N52" s="218"/>
      <c r="O52" s="218"/>
      <c r="P52" s="218"/>
      <c r="Q52" s="218"/>
      <c r="R52" s="218"/>
      <c r="S52" s="218"/>
      <c r="T52" s="218"/>
      <c r="U52" s="218"/>
      <c r="V52" s="218"/>
      <c r="W52" s="218"/>
      <c r="X52" s="218"/>
      <c r="Y52" s="218"/>
      <c r="Z52" s="218"/>
      <c r="AA52" s="218"/>
      <c r="AB52" s="196"/>
      <c r="AC52" s="453">
        <f t="shared" ref="AC52" si="17">SUM($E53:$G53)-SUM($I53:$AA53)+$AC50</f>
        <v>0</v>
      </c>
    </row>
    <row r="53" spans="1:29" s="7" customFormat="1" ht="33.75" customHeight="1" thickBot="1">
      <c r="A53" s="459"/>
      <c r="B53" s="482"/>
      <c r="C53" s="15"/>
      <c r="D53" s="274" t="s">
        <v>105</v>
      </c>
      <c r="E53" s="277"/>
      <c r="F53" s="278"/>
      <c r="G53" s="278"/>
      <c r="H53" s="276"/>
      <c r="I53" s="276"/>
      <c r="J53" s="276"/>
      <c r="K53" s="276"/>
      <c r="L53" s="276"/>
      <c r="M53" s="276"/>
      <c r="N53" s="276"/>
      <c r="O53" s="276"/>
      <c r="P53" s="276"/>
      <c r="Q53" s="276"/>
      <c r="R53" s="276"/>
      <c r="S53" s="276"/>
      <c r="T53" s="276"/>
      <c r="U53" s="276"/>
      <c r="V53" s="276"/>
      <c r="W53" s="276"/>
      <c r="X53" s="276"/>
      <c r="Y53" s="276"/>
      <c r="Z53" s="276"/>
      <c r="AA53" s="276"/>
      <c r="AB53" s="197"/>
      <c r="AC53" s="454"/>
    </row>
    <row r="54" spans="1:29" s="7" customFormat="1" ht="33.75" customHeight="1">
      <c r="A54" s="455">
        <v>23</v>
      </c>
      <c r="B54" s="481"/>
      <c r="C54" s="13"/>
      <c r="D54" s="273" t="s">
        <v>177</v>
      </c>
      <c r="E54" s="216"/>
      <c r="F54" s="217"/>
      <c r="G54" s="217"/>
      <c r="H54" s="218"/>
      <c r="I54" s="218"/>
      <c r="J54" s="218"/>
      <c r="K54" s="218"/>
      <c r="L54" s="218"/>
      <c r="M54" s="218"/>
      <c r="N54" s="218"/>
      <c r="O54" s="218"/>
      <c r="P54" s="218"/>
      <c r="Q54" s="218"/>
      <c r="R54" s="218"/>
      <c r="S54" s="218"/>
      <c r="T54" s="218"/>
      <c r="U54" s="218"/>
      <c r="V54" s="218"/>
      <c r="W54" s="218"/>
      <c r="X54" s="218"/>
      <c r="Y54" s="218"/>
      <c r="Z54" s="218"/>
      <c r="AA54" s="218"/>
      <c r="AB54" s="196"/>
      <c r="AC54" s="453">
        <f t="shared" ref="AC54" si="18">SUM($E55:$G55)-SUM($I55:$AA55)+$AC52</f>
        <v>0</v>
      </c>
    </row>
    <row r="55" spans="1:29" s="7" customFormat="1" ht="33.75" customHeight="1" thickBot="1">
      <c r="A55" s="459"/>
      <c r="B55" s="482"/>
      <c r="C55" s="15"/>
      <c r="D55" s="274" t="s">
        <v>105</v>
      </c>
      <c r="E55" s="277"/>
      <c r="F55" s="278"/>
      <c r="G55" s="278"/>
      <c r="H55" s="276"/>
      <c r="I55" s="276"/>
      <c r="J55" s="276"/>
      <c r="K55" s="276"/>
      <c r="L55" s="276"/>
      <c r="M55" s="276"/>
      <c r="N55" s="276"/>
      <c r="O55" s="276"/>
      <c r="P55" s="276"/>
      <c r="Q55" s="276"/>
      <c r="R55" s="276"/>
      <c r="S55" s="276"/>
      <c r="T55" s="276"/>
      <c r="U55" s="276"/>
      <c r="V55" s="276"/>
      <c r="W55" s="276"/>
      <c r="X55" s="276"/>
      <c r="Y55" s="276"/>
      <c r="Z55" s="276"/>
      <c r="AA55" s="276"/>
      <c r="AB55" s="197"/>
      <c r="AC55" s="454"/>
    </row>
    <row r="56" spans="1:29" s="7" customFormat="1" ht="33.75" customHeight="1">
      <c r="A56" s="455">
        <v>24</v>
      </c>
      <c r="B56" s="481"/>
      <c r="C56" s="13"/>
      <c r="D56" s="273" t="s">
        <v>177</v>
      </c>
      <c r="E56" s="216"/>
      <c r="F56" s="217"/>
      <c r="G56" s="217"/>
      <c r="H56" s="218"/>
      <c r="I56" s="218"/>
      <c r="J56" s="218"/>
      <c r="K56" s="218"/>
      <c r="L56" s="218"/>
      <c r="M56" s="218"/>
      <c r="N56" s="218"/>
      <c r="O56" s="218"/>
      <c r="P56" s="218"/>
      <c r="Q56" s="218"/>
      <c r="R56" s="218"/>
      <c r="S56" s="218"/>
      <c r="T56" s="218"/>
      <c r="U56" s="218"/>
      <c r="V56" s="218"/>
      <c r="W56" s="218"/>
      <c r="X56" s="218"/>
      <c r="Y56" s="218"/>
      <c r="Z56" s="218"/>
      <c r="AA56" s="218"/>
      <c r="AB56" s="196"/>
      <c r="AC56" s="453">
        <f t="shared" ref="AC56" si="19">SUM($E57:$G57)-SUM($I57:$AA57)+$AC54</f>
        <v>0</v>
      </c>
    </row>
    <row r="57" spans="1:29" s="7" customFormat="1" ht="33.75" customHeight="1" thickBot="1">
      <c r="A57" s="459"/>
      <c r="B57" s="482"/>
      <c r="C57" s="15"/>
      <c r="D57" s="274" t="s">
        <v>105</v>
      </c>
      <c r="E57" s="277"/>
      <c r="F57" s="278"/>
      <c r="G57" s="278"/>
      <c r="H57" s="276"/>
      <c r="I57" s="276"/>
      <c r="J57" s="276"/>
      <c r="K57" s="276"/>
      <c r="L57" s="276"/>
      <c r="M57" s="276"/>
      <c r="N57" s="276"/>
      <c r="O57" s="276"/>
      <c r="P57" s="276"/>
      <c r="Q57" s="276"/>
      <c r="R57" s="276"/>
      <c r="S57" s="276"/>
      <c r="T57" s="276"/>
      <c r="U57" s="276"/>
      <c r="V57" s="276"/>
      <c r="W57" s="276"/>
      <c r="X57" s="276"/>
      <c r="Y57" s="276"/>
      <c r="Z57" s="276"/>
      <c r="AA57" s="276"/>
      <c r="AB57" s="197"/>
      <c r="AC57" s="454"/>
    </row>
    <row r="58" spans="1:29" s="7" customFormat="1" ht="33.75" customHeight="1">
      <c r="A58" s="455">
        <v>25</v>
      </c>
      <c r="B58" s="481"/>
      <c r="C58" s="13"/>
      <c r="D58" s="273" t="s">
        <v>177</v>
      </c>
      <c r="E58" s="216"/>
      <c r="F58" s="217"/>
      <c r="G58" s="217"/>
      <c r="H58" s="218"/>
      <c r="I58" s="218"/>
      <c r="J58" s="218"/>
      <c r="K58" s="218"/>
      <c r="L58" s="218"/>
      <c r="M58" s="218"/>
      <c r="N58" s="218"/>
      <c r="O58" s="218"/>
      <c r="P58" s="218"/>
      <c r="Q58" s="218"/>
      <c r="R58" s="218"/>
      <c r="S58" s="218"/>
      <c r="T58" s="218"/>
      <c r="U58" s="218"/>
      <c r="V58" s="218"/>
      <c r="W58" s="218"/>
      <c r="X58" s="218"/>
      <c r="Y58" s="218"/>
      <c r="Z58" s="218"/>
      <c r="AA58" s="218"/>
      <c r="AB58" s="196"/>
      <c r="AC58" s="453">
        <f t="shared" ref="AC58" si="20">SUM($E59:$G59)-SUM($I59:$AA59)+$AC56</f>
        <v>0</v>
      </c>
    </row>
    <row r="59" spans="1:29" s="7" customFormat="1" ht="33.75" customHeight="1" thickBot="1">
      <c r="A59" s="459"/>
      <c r="B59" s="482"/>
      <c r="C59" s="15"/>
      <c r="D59" s="274" t="s">
        <v>105</v>
      </c>
      <c r="E59" s="277"/>
      <c r="F59" s="278"/>
      <c r="G59" s="278"/>
      <c r="H59" s="276"/>
      <c r="I59" s="276"/>
      <c r="J59" s="276"/>
      <c r="K59" s="276"/>
      <c r="L59" s="276"/>
      <c r="M59" s="276"/>
      <c r="N59" s="276"/>
      <c r="O59" s="276"/>
      <c r="P59" s="276"/>
      <c r="Q59" s="276"/>
      <c r="R59" s="276"/>
      <c r="S59" s="276"/>
      <c r="T59" s="276"/>
      <c r="U59" s="276"/>
      <c r="V59" s="276"/>
      <c r="W59" s="276"/>
      <c r="X59" s="276"/>
      <c r="Y59" s="276"/>
      <c r="Z59" s="276"/>
      <c r="AA59" s="276"/>
      <c r="AB59" s="197"/>
      <c r="AC59" s="454"/>
    </row>
    <row r="60" spans="1:29" s="7" customFormat="1" ht="33.75" customHeight="1">
      <c r="A60" s="455">
        <v>26</v>
      </c>
      <c r="B60" s="481"/>
      <c r="C60" s="13"/>
      <c r="D60" s="273" t="s">
        <v>177</v>
      </c>
      <c r="E60" s="216"/>
      <c r="F60" s="217"/>
      <c r="G60" s="217"/>
      <c r="H60" s="218"/>
      <c r="I60" s="218"/>
      <c r="J60" s="218"/>
      <c r="K60" s="218"/>
      <c r="L60" s="218"/>
      <c r="M60" s="218"/>
      <c r="N60" s="218"/>
      <c r="O60" s="218"/>
      <c r="P60" s="218"/>
      <c r="Q60" s="218"/>
      <c r="R60" s="218"/>
      <c r="S60" s="218"/>
      <c r="T60" s="218"/>
      <c r="U60" s="218"/>
      <c r="V60" s="218"/>
      <c r="W60" s="218"/>
      <c r="X60" s="218"/>
      <c r="Y60" s="218"/>
      <c r="Z60" s="218"/>
      <c r="AA60" s="218"/>
      <c r="AB60" s="196"/>
      <c r="AC60" s="453">
        <f t="shared" ref="AC60" si="21">SUM($E61:$G61)-SUM($I61:$AA61)+$AC58</f>
        <v>0</v>
      </c>
    </row>
    <row r="61" spans="1:29" s="7" customFormat="1" ht="33.75" customHeight="1" thickBot="1">
      <c r="A61" s="459"/>
      <c r="B61" s="482"/>
      <c r="C61" s="15"/>
      <c r="D61" s="274" t="s">
        <v>105</v>
      </c>
      <c r="E61" s="277"/>
      <c r="F61" s="278"/>
      <c r="G61" s="278"/>
      <c r="H61" s="220"/>
      <c r="I61" s="276"/>
      <c r="J61" s="276"/>
      <c r="K61" s="276"/>
      <c r="L61" s="276"/>
      <c r="M61" s="276"/>
      <c r="N61" s="276"/>
      <c r="O61" s="276"/>
      <c r="P61" s="276"/>
      <c r="Q61" s="276"/>
      <c r="R61" s="276"/>
      <c r="S61" s="276"/>
      <c r="T61" s="276"/>
      <c r="U61" s="276"/>
      <c r="V61" s="276"/>
      <c r="W61" s="276"/>
      <c r="X61" s="276"/>
      <c r="Y61" s="276"/>
      <c r="Z61" s="276"/>
      <c r="AA61" s="276"/>
      <c r="AB61" s="197"/>
      <c r="AC61" s="454"/>
    </row>
    <row r="62" spans="1:29" s="7" customFormat="1" ht="33.75" customHeight="1">
      <c r="A62" s="455">
        <v>27</v>
      </c>
      <c r="B62" s="481"/>
      <c r="C62" s="13"/>
      <c r="D62" s="273" t="s">
        <v>177</v>
      </c>
      <c r="E62" s="216"/>
      <c r="F62" s="217"/>
      <c r="G62" s="217"/>
      <c r="H62" s="218"/>
      <c r="I62" s="218"/>
      <c r="J62" s="218"/>
      <c r="K62" s="218"/>
      <c r="L62" s="218"/>
      <c r="M62" s="218"/>
      <c r="N62" s="218"/>
      <c r="O62" s="218"/>
      <c r="P62" s="218"/>
      <c r="Q62" s="218"/>
      <c r="R62" s="218"/>
      <c r="S62" s="218"/>
      <c r="T62" s="218"/>
      <c r="U62" s="218"/>
      <c r="V62" s="218"/>
      <c r="W62" s="218"/>
      <c r="X62" s="218"/>
      <c r="Y62" s="218"/>
      <c r="Z62" s="218"/>
      <c r="AA62" s="218"/>
      <c r="AB62" s="196"/>
      <c r="AC62" s="453">
        <f t="shared" ref="AC62" si="22">SUM($E63:$G63)-SUM($I63:$AA63)+$AC60</f>
        <v>0</v>
      </c>
    </row>
    <row r="63" spans="1:29" s="7" customFormat="1" ht="33.75" customHeight="1" thickBot="1">
      <c r="A63" s="459"/>
      <c r="B63" s="482"/>
      <c r="C63" s="15"/>
      <c r="D63" s="274" t="s">
        <v>105</v>
      </c>
      <c r="E63" s="277"/>
      <c r="F63" s="278"/>
      <c r="G63" s="278"/>
      <c r="H63" s="276"/>
      <c r="I63" s="276"/>
      <c r="J63" s="276"/>
      <c r="K63" s="276"/>
      <c r="L63" s="276"/>
      <c r="M63" s="276"/>
      <c r="N63" s="276"/>
      <c r="O63" s="276"/>
      <c r="P63" s="276"/>
      <c r="Q63" s="276"/>
      <c r="R63" s="276"/>
      <c r="S63" s="276"/>
      <c r="T63" s="276"/>
      <c r="U63" s="276"/>
      <c r="V63" s="276"/>
      <c r="W63" s="276"/>
      <c r="X63" s="276"/>
      <c r="Y63" s="276"/>
      <c r="Z63" s="276"/>
      <c r="AA63" s="276"/>
      <c r="AB63" s="197"/>
      <c r="AC63" s="454"/>
    </row>
    <row r="64" spans="1:29" s="7" customFormat="1" ht="33.75" customHeight="1">
      <c r="A64" s="455">
        <v>28</v>
      </c>
      <c r="B64" s="481"/>
      <c r="C64" s="13"/>
      <c r="D64" s="273" t="s">
        <v>177</v>
      </c>
      <c r="E64" s="216"/>
      <c r="F64" s="217"/>
      <c r="G64" s="217"/>
      <c r="H64" s="218"/>
      <c r="I64" s="218"/>
      <c r="J64" s="218"/>
      <c r="K64" s="218"/>
      <c r="L64" s="218"/>
      <c r="M64" s="218"/>
      <c r="N64" s="218"/>
      <c r="O64" s="218"/>
      <c r="P64" s="218"/>
      <c r="Q64" s="218"/>
      <c r="R64" s="218"/>
      <c r="S64" s="218"/>
      <c r="T64" s="218"/>
      <c r="U64" s="218"/>
      <c r="V64" s="218"/>
      <c r="W64" s="218"/>
      <c r="X64" s="218"/>
      <c r="Y64" s="218"/>
      <c r="Z64" s="218"/>
      <c r="AA64" s="218"/>
      <c r="AB64" s="196"/>
      <c r="AC64" s="453">
        <f t="shared" ref="AC64" si="23">SUM($E65:$G65)-SUM($I65:$AA65)+$AC62</f>
        <v>0</v>
      </c>
    </row>
    <row r="65" spans="1:29" s="7" customFormat="1" ht="33.75" customHeight="1" thickBot="1">
      <c r="A65" s="459"/>
      <c r="B65" s="482"/>
      <c r="C65" s="15"/>
      <c r="D65" s="274" t="s">
        <v>105</v>
      </c>
      <c r="E65" s="277"/>
      <c r="F65" s="278"/>
      <c r="G65" s="278"/>
      <c r="H65" s="276"/>
      <c r="I65" s="276"/>
      <c r="J65" s="276"/>
      <c r="K65" s="276"/>
      <c r="L65" s="276"/>
      <c r="M65" s="276"/>
      <c r="N65" s="276"/>
      <c r="O65" s="276"/>
      <c r="P65" s="276"/>
      <c r="Q65" s="276"/>
      <c r="R65" s="276"/>
      <c r="S65" s="276"/>
      <c r="T65" s="276"/>
      <c r="U65" s="276"/>
      <c r="V65" s="276"/>
      <c r="W65" s="276"/>
      <c r="X65" s="276"/>
      <c r="Y65" s="276"/>
      <c r="Z65" s="276"/>
      <c r="AA65" s="276"/>
      <c r="AB65" s="197"/>
      <c r="AC65" s="454"/>
    </row>
    <row r="66" spans="1:29" s="7" customFormat="1" ht="33.75" customHeight="1">
      <c r="A66" s="455">
        <v>29</v>
      </c>
      <c r="B66" s="481"/>
      <c r="C66" s="13"/>
      <c r="D66" s="273" t="s">
        <v>177</v>
      </c>
      <c r="E66" s="216"/>
      <c r="F66" s="217"/>
      <c r="G66" s="217"/>
      <c r="H66" s="218"/>
      <c r="I66" s="218"/>
      <c r="J66" s="218"/>
      <c r="K66" s="218"/>
      <c r="L66" s="218"/>
      <c r="M66" s="218"/>
      <c r="N66" s="218"/>
      <c r="O66" s="218"/>
      <c r="P66" s="218"/>
      <c r="Q66" s="218"/>
      <c r="R66" s="218"/>
      <c r="S66" s="218"/>
      <c r="T66" s="218"/>
      <c r="U66" s="218"/>
      <c r="V66" s="218"/>
      <c r="W66" s="218"/>
      <c r="X66" s="218"/>
      <c r="Y66" s="218"/>
      <c r="Z66" s="218"/>
      <c r="AA66" s="218"/>
      <c r="AB66" s="196"/>
      <c r="AC66" s="453">
        <f t="shared" ref="AC66" si="24">SUM($E67:$G67)-SUM($I67:$AA67)+$AC64</f>
        <v>0</v>
      </c>
    </row>
    <row r="67" spans="1:29" s="7" customFormat="1" ht="33.75" customHeight="1" thickBot="1">
      <c r="A67" s="459"/>
      <c r="B67" s="482"/>
      <c r="C67" s="15"/>
      <c r="D67" s="274" t="s">
        <v>105</v>
      </c>
      <c r="E67" s="277"/>
      <c r="F67" s="278"/>
      <c r="G67" s="278"/>
      <c r="H67" s="276"/>
      <c r="I67" s="276"/>
      <c r="J67" s="276"/>
      <c r="K67" s="276"/>
      <c r="L67" s="276"/>
      <c r="M67" s="276"/>
      <c r="N67" s="276"/>
      <c r="O67" s="276"/>
      <c r="P67" s="276"/>
      <c r="Q67" s="276"/>
      <c r="R67" s="276"/>
      <c r="S67" s="276"/>
      <c r="T67" s="276"/>
      <c r="U67" s="276"/>
      <c r="V67" s="276"/>
      <c r="W67" s="276"/>
      <c r="X67" s="276"/>
      <c r="Y67" s="276"/>
      <c r="Z67" s="276"/>
      <c r="AA67" s="276"/>
      <c r="AB67" s="197"/>
      <c r="AC67" s="454"/>
    </row>
    <row r="68" spans="1:29" s="7" customFormat="1" ht="33.75" customHeight="1">
      <c r="A68" s="455">
        <v>30</v>
      </c>
      <c r="B68" s="481"/>
      <c r="C68" s="13"/>
      <c r="D68" s="273" t="s">
        <v>177</v>
      </c>
      <c r="E68" s="216"/>
      <c r="F68" s="217"/>
      <c r="G68" s="217"/>
      <c r="H68" s="218"/>
      <c r="I68" s="218"/>
      <c r="J68" s="218"/>
      <c r="K68" s="218"/>
      <c r="L68" s="218"/>
      <c r="M68" s="218"/>
      <c r="N68" s="218"/>
      <c r="O68" s="218"/>
      <c r="P68" s="218"/>
      <c r="Q68" s="218"/>
      <c r="R68" s="218"/>
      <c r="S68" s="218"/>
      <c r="T68" s="218"/>
      <c r="U68" s="218"/>
      <c r="V68" s="218"/>
      <c r="W68" s="218"/>
      <c r="X68" s="218"/>
      <c r="Y68" s="218"/>
      <c r="Z68" s="218"/>
      <c r="AA68" s="218"/>
      <c r="AB68" s="196"/>
      <c r="AC68" s="453">
        <f t="shared" ref="AC68" si="25">SUM($E69:$G69)-SUM($I69:$AA69)+$AC66</f>
        <v>0</v>
      </c>
    </row>
    <row r="69" spans="1:29" s="7" customFormat="1" ht="33.75" customHeight="1" thickBot="1">
      <c r="A69" s="459"/>
      <c r="B69" s="482"/>
      <c r="C69" s="15"/>
      <c r="D69" s="274" t="s">
        <v>105</v>
      </c>
      <c r="E69" s="277"/>
      <c r="F69" s="278"/>
      <c r="G69" s="278"/>
      <c r="H69" s="276"/>
      <c r="I69" s="276"/>
      <c r="J69" s="276"/>
      <c r="K69" s="276"/>
      <c r="L69" s="276"/>
      <c r="M69" s="276"/>
      <c r="N69" s="276"/>
      <c r="O69" s="276"/>
      <c r="P69" s="276"/>
      <c r="Q69" s="276"/>
      <c r="R69" s="276"/>
      <c r="S69" s="276"/>
      <c r="T69" s="276"/>
      <c r="U69" s="276"/>
      <c r="V69" s="276"/>
      <c r="W69" s="276"/>
      <c r="X69" s="276"/>
      <c r="Y69" s="276"/>
      <c r="Z69" s="276"/>
      <c r="AA69" s="276"/>
      <c r="AB69" s="197"/>
      <c r="AC69" s="454"/>
    </row>
    <row r="70" spans="1:29" s="7" customFormat="1" ht="33.75" customHeight="1">
      <c r="A70" s="455">
        <v>31</v>
      </c>
      <c r="B70" s="481"/>
      <c r="C70" s="13"/>
      <c r="D70" s="273" t="s">
        <v>177</v>
      </c>
      <c r="E70" s="216"/>
      <c r="F70" s="217"/>
      <c r="G70" s="217"/>
      <c r="H70" s="218"/>
      <c r="I70" s="218"/>
      <c r="J70" s="218"/>
      <c r="K70" s="218"/>
      <c r="L70" s="218"/>
      <c r="M70" s="218"/>
      <c r="N70" s="218"/>
      <c r="O70" s="218"/>
      <c r="P70" s="218"/>
      <c r="Q70" s="218"/>
      <c r="R70" s="218"/>
      <c r="S70" s="218"/>
      <c r="T70" s="218"/>
      <c r="U70" s="218"/>
      <c r="V70" s="218"/>
      <c r="W70" s="218"/>
      <c r="X70" s="218"/>
      <c r="Y70" s="218"/>
      <c r="Z70" s="218"/>
      <c r="AA70" s="218"/>
      <c r="AB70" s="196"/>
      <c r="AC70" s="453">
        <f t="shared" ref="AC70" si="26">SUM($E71:$G71)-SUM($I71:$AA71)+$AC68</f>
        <v>0</v>
      </c>
    </row>
    <row r="71" spans="1:29" s="7" customFormat="1" ht="33.75" customHeight="1" thickBot="1">
      <c r="A71" s="459"/>
      <c r="B71" s="482"/>
      <c r="C71" s="15"/>
      <c r="D71" s="274" t="s">
        <v>105</v>
      </c>
      <c r="E71" s="277"/>
      <c r="F71" s="278"/>
      <c r="G71" s="278"/>
      <c r="H71" s="276"/>
      <c r="I71" s="276"/>
      <c r="J71" s="276"/>
      <c r="K71" s="276"/>
      <c r="L71" s="276"/>
      <c r="M71" s="276"/>
      <c r="N71" s="276"/>
      <c r="O71" s="276"/>
      <c r="P71" s="276"/>
      <c r="Q71" s="276"/>
      <c r="R71" s="276"/>
      <c r="S71" s="276"/>
      <c r="T71" s="276"/>
      <c r="U71" s="276"/>
      <c r="V71" s="276"/>
      <c r="W71" s="276"/>
      <c r="X71" s="276"/>
      <c r="Y71" s="276"/>
      <c r="Z71" s="276"/>
      <c r="AA71" s="276"/>
      <c r="AB71" s="197"/>
      <c r="AC71" s="454"/>
    </row>
    <row r="72" spans="1:29" ht="46.5" customHeight="1">
      <c r="A72" s="469" t="s">
        <v>331</v>
      </c>
      <c r="B72" s="470"/>
      <c r="C72" s="470"/>
      <c r="D72" s="471"/>
      <c r="E72" s="192">
        <f>SUM(E$10:E$71)</f>
        <v>0</v>
      </c>
      <c r="F72" s="192">
        <f t="shared" ref="F72" si="27">SUM(F$10:F$71)</f>
        <v>0</v>
      </c>
      <c r="G72" s="192">
        <f>SUM(G$10:G$71)</f>
        <v>0</v>
      </c>
      <c r="H72" s="192">
        <f>SUMIF($D$10:$D$41,$D72,H$10:H$41)</f>
        <v>0</v>
      </c>
      <c r="I72" s="192">
        <f>SUM(I$10:I$71)</f>
        <v>0</v>
      </c>
      <c r="J72" s="192">
        <f t="shared" ref="J72:AA72" si="28">SUM(J$10:J$71)</f>
        <v>0</v>
      </c>
      <c r="K72" s="192">
        <f t="shared" si="28"/>
        <v>0</v>
      </c>
      <c r="L72" s="192">
        <f t="shared" si="28"/>
        <v>0</v>
      </c>
      <c r="M72" s="192">
        <f t="shared" si="28"/>
        <v>0</v>
      </c>
      <c r="N72" s="192">
        <f t="shared" si="28"/>
        <v>0</v>
      </c>
      <c r="O72" s="192">
        <f t="shared" si="28"/>
        <v>0</v>
      </c>
      <c r="P72" s="192">
        <f t="shared" si="28"/>
        <v>0</v>
      </c>
      <c r="Q72" s="192">
        <f t="shared" si="28"/>
        <v>0</v>
      </c>
      <c r="R72" s="192">
        <f t="shared" si="28"/>
        <v>0</v>
      </c>
      <c r="S72" s="192">
        <f t="shared" si="28"/>
        <v>0</v>
      </c>
      <c r="T72" s="192">
        <f t="shared" si="28"/>
        <v>0</v>
      </c>
      <c r="U72" s="192">
        <f t="shared" si="28"/>
        <v>0</v>
      </c>
      <c r="V72" s="192">
        <f t="shared" si="28"/>
        <v>0</v>
      </c>
      <c r="W72" s="192">
        <f t="shared" si="28"/>
        <v>0</v>
      </c>
      <c r="X72" s="192">
        <f t="shared" si="28"/>
        <v>0</v>
      </c>
      <c r="Y72" s="192">
        <f t="shared" si="28"/>
        <v>0</v>
      </c>
      <c r="Z72" s="192">
        <f t="shared" si="28"/>
        <v>0</v>
      </c>
      <c r="AA72" s="192">
        <f t="shared" si="28"/>
        <v>0</v>
      </c>
      <c r="AB72" s="197">
        <f>SUMIF($D$10:$D$41,$D72,AB$10:AB$41)</f>
        <v>0</v>
      </c>
      <c r="AC72" s="193"/>
    </row>
    <row r="73" spans="1:29" ht="33.75" customHeight="1">
      <c r="B73" s="43" t="s">
        <v>330</v>
      </c>
    </row>
  </sheetData>
  <sheetProtection sheet="1" objects="1" scenarios="1" selectLockedCells="1"/>
  <mergeCells count="136">
    <mergeCell ref="E5:G5"/>
    <mergeCell ref="I5:AA5"/>
    <mergeCell ref="E6:E7"/>
    <mergeCell ref="F6:F9"/>
    <mergeCell ref="G6:G7"/>
    <mergeCell ref="H6:H9"/>
    <mergeCell ref="A2:A9"/>
    <mergeCell ref="B2:B4"/>
    <mergeCell ref="C2:C4"/>
    <mergeCell ref="D2:G4"/>
    <mergeCell ref="H2:H4"/>
    <mergeCell ref="I2:AA4"/>
    <mergeCell ref="B6:B9"/>
    <mergeCell ref="C6:C9"/>
    <mergeCell ref="D6:D9"/>
    <mergeCell ref="J6:J9"/>
    <mergeCell ref="V6:V9"/>
    <mergeCell ref="K6:K9"/>
    <mergeCell ref="L6:L9"/>
    <mergeCell ref="M6:M9"/>
    <mergeCell ref="N6:N9"/>
    <mergeCell ref="O6:O9"/>
    <mergeCell ref="P6:P9"/>
    <mergeCell ref="R6:R9"/>
    <mergeCell ref="AB2:AB3"/>
    <mergeCell ref="AC2:AC3"/>
    <mergeCell ref="AB4:AB6"/>
    <mergeCell ref="AC4:AC6"/>
    <mergeCell ref="A12:A13"/>
    <mergeCell ref="B12:B13"/>
    <mergeCell ref="AC12:AC13"/>
    <mergeCell ref="A14:A15"/>
    <mergeCell ref="B14:B15"/>
    <mergeCell ref="AC14:AC15"/>
    <mergeCell ref="AB7:AB9"/>
    <mergeCell ref="AC7:AC9"/>
    <mergeCell ref="E8:E9"/>
    <mergeCell ref="G8:G9"/>
    <mergeCell ref="A10:A11"/>
    <mergeCell ref="B10:B11"/>
    <mergeCell ref="AC10:AC11"/>
    <mergeCell ref="W6:W9"/>
    <mergeCell ref="X6:X9"/>
    <mergeCell ref="Y6:Y9"/>
    <mergeCell ref="Z6:Z9"/>
    <mergeCell ref="I7:I8"/>
    <mergeCell ref="AA7:AA8"/>
    <mergeCell ref="Q6:Q9"/>
    <mergeCell ref="S6:S9"/>
    <mergeCell ref="T6:T9"/>
    <mergeCell ref="U6:U9"/>
    <mergeCell ref="A20:A21"/>
    <mergeCell ref="B20:B21"/>
    <mergeCell ref="AC20:AC21"/>
    <mergeCell ref="A22:A23"/>
    <mergeCell ref="B22:B23"/>
    <mergeCell ref="AC22:AC23"/>
    <mergeCell ref="A16:A17"/>
    <mergeCell ref="B16:B17"/>
    <mergeCell ref="AC16:AC17"/>
    <mergeCell ref="A18:A19"/>
    <mergeCell ref="B18:B19"/>
    <mergeCell ref="AC18:AC19"/>
    <mergeCell ref="A28:A29"/>
    <mergeCell ref="B28:B29"/>
    <mergeCell ref="AC28:AC29"/>
    <mergeCell ref="A30:A31"/>
    <mergeCell ref="B30:B31"/>
    <mergeCell ref="AC30:AC31"/>
    <mergeCell ref="A24:A25"/>
    <mergeCell ref="B24:B25"/>
    <mergeCell ref="AC24:AC25"/>
    <mergeCell ref="A26:A27"/>
    <mergeCell ref="B26:B27"/>
    <mergeCell ref="AC26:AC27"/>
    <mergeCell ref="A36:A37"/>
    <mergeCell ref="B36:B37"/>
    <mergeCell ref="AC36:AC37"/>
    <mergeCell ref="A38:A39"/>
    <mergeCell ref="B38:B39"/>
    <mergeCell ref="AC38:AC39"/>
    <mergeCell ref="A32:A33"/>
    <mergeCell ref="B32:B33"/>
    <mergeCell ref="AC32:AC33"/>
    <mergeCell ref="A34:A35"/>
    <mergeCell ref="B34:B35"/>
    <mergeCell ref="AC34:AC35"/>
    <mergeCell ref="A44:A45"/>
    <mergeCell ref="B44:B45"/>
    <mergeCell ref="AC44:AC45"/>
    <mergeCell ref="A46:A47"/>
    <mergeCell ref="B46:B47"/>
    <mergeCell ref="AC46:AC47"/>
    <mergeCell ref="A40:A41"/>
    <mergeCell ref="B40:B41"/>
    <mergeCell ref="AC40:AC41"/>
    <mergeCell ref="A42:A43"/>
    <mergeCell ref="B42:B43"/>
    <mergeCell ref="AC42:AC43"/>
    <mergeCell ref="A52:A53"/>
    <mergeCell ref="B52:B53"/>
    <mergeCell ref="AC52:AC53"/>
    <mergeCell ref="A54:A55"/>
    <mergeCell ref="B54:B55"/>
    <mergeCell ref="AC54:AC55"/>
    <mergeCell ref="A48:A49"/>
    <mergeCell ref="B48:B49"/>
    <mergeCell ref="AC48:AC49"/>
    <mergeCell ref="A50:A51"/>
    <mergeCell ref="B50:B51"/>
    <mergeCell ref="AC50:AC51"/>
    <mergeCell ref="A60:A61"/>
    <mergeCell ref="B60:B61"/>
    <mergeCell ref="AC60:AC61"/>
    <mergeCell ref="A62:A63"/>
    <mergeCell ref="B62:B63"/>
    <mergeCell ref="AC62:AC63"/>
    <mergeCell ref="A56:A57"/>
    <mergeCell ref="B56:B57"/>
    <mergeCell ref="AC56:AC57"/>
    <mergeCell ref="A58:A59"/>
    <mergeCell ref="B58:B59"/>
    <mergeCell ref="AC58:AC59"/>
    <mergeCell ref="A68:A69"/>
    <mergeCell ref="B68:B69"/>
    <mergeCell ref="AC68:AC69"/>
    <mergeCell ref="A70:A71"/>
    <mergeCell ref="B70:B71"/>
    <mergeCell ref="A72:D72"/>
    <mergeCell ref="A64:A65"/>
    <mergeCell ref="B64:B65"/>
    <mergeCell ref="AC64:AC65"/>
    <mergeCell ref="A66:A67"/>
    <mergeCell ref="B66:B67"/>
    <mergeCell ref="AC66:AC67"/>
    <mergeCell ref="AC70:AC71"/>
  </mergeCells>
  <phoneticPr fontId="1"/>
  <pageMargins left="0.47244094488188981" right="0.31496062992125984" top="0.59055118110236227" bottom="0.19685039370078741" header="0.31496062992125984" footer="0.31496062992125984"/>
  <pageSetup paperSize="9" scale="45" orientation="landscape" r:id="rId1"/>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0614F-CE47-473E-9C86-9912882EC2BE}">
  <dimension ref="A1:AC71"/>
  <sheetViews>
    <sheetView zoomScale="50" zoomScaleNormal="50" workbookViewId="0">
      <pane xSplit="4" ySplit="9" topLeftCell="E64" activePane="bottomRight" state="frozen"/>
      <selection activeCell="E10" sqref="E10:AA71"/>
      <selection pane="topRight" activeCell="E10" sqref="E10:AA71"/>
      <selection pane="bottomLeft" activeCell="E10" sqref="E10:AA71"/>
      <selection pane="bottomRight" activeCell="E11" sqref="E11:AA11"/>
    </sheetView>
  </sheetViews>
  <sheetFormatPr defaultRowHeight="33.75" customHeight="1"/>
  <cols>
    <col min="1" max="1" width="3.625" customWidth="1"/>
    <col min="2" max="2" width="34.375" customWidth="1"/>
    <col min="3" max="3" width="0.375" customWidth="1"/>
    <col min="4" max="4" width="4.625" customWidth="1"/>
    <col min="5" max="7" width="10" customWidth="1"/>
    <col min="8" max="8" width="0.25" customWidth="1"/>
    <col min="9" max="22" width="10" customWidth="1"/>
    <col min="23" max="24" width="10" style="17" customWidth="1"/>
    <col min="25" max="27" width="10" customWidth="1"/>
    <col min="28" max="28" width="0.25" customWidth="1"/>
    <col min="29" max="29" width="14" customWidth="1"/>
  </cols>
  <sheetData>
    <row r="1" spans="1:29" ht="26.25" customHeight="1" thickBot="1">
      <c r="B1" s="4"/>
    </row>
    <row r="2" spans="1:29" ht="15" customHeight="1">
      <c r="A2" s="377" t="s">
        <v>24</v>
      </c>
      <c r="B2" s="380" t="s">
        <v>339</v>
      </c>
      <c r="C2" s="383"/>
      <c r="D2" s="355" t="s">
        <v>189</v>
      </c>
      <c r="E2" s="356"/>
      <c r="F2" s="356"/>
      <c r="G2" s="356"/>
      <c r="H2" s="386"/>
      <c r="I2" s="355" t="s">
        <v>188</v>
      </c>
      <c r="J2" s="356"/>
      <c r="K2" s="356"/>
      <c r="L2" s="356"/>
      <c r="M2" s="356"/>
      <c r="N2" s="356"/>
      <c r="O2" s="356"/>
      <c r="P2" s="356"/>
      <c r="Q2" s="356"/>
      <c r="R2" s="356"/>
      <c r="S2" s="356"/>
      <c r="T2" s="356"/>
      <c r="U2" s="356"/>
      <c r="V2" s="356"/>
      <c r="W2" s="356"/>
      <c r="X2" s="356"/>
      <c r="Y2" s="356"/>
      <c r="Z2" s="356"/>
      <c r="AA2" s="356"/>
      <c r="AB2" s="424"/>
      <c r="AC2" s="445" t="s">
        <v>265</v>
      </c>
    </row>
    <row r="3" spans="1:29" ht="18.75" customHeight="1">
      <c r="A3" s="378"/>
      <c r="B3" s="381"/>
      <c r="C3" s="384"/>
      <c r="D3" s="358"/>
      <c r="E3" s="359"/>
      <c r="F3" s="359"/>
      <c r="G3" s="359"/>
      <c r="H3" s="387"/>
      <c r="I3" s="358"/>
      <c r="J3" s="359"/>
      <c r="K3" s="359"/>
      <c r="L3" s="359"/>
      <c r="M3" s="359"/>
      <c r="N3" s="359"/>
      <c r="O3" s="359"/>
      <c r="P3" s="359"/>
      <c r="Q3" s="359"/>
      <c r="R3" s="359"/>
      <c r="S3" s="359"/>
      <c r="T3" s="359"/>
      <c r="U3" s="359"/>
      <c r="V3" s="359"/>
      <c r="W3" s="359"/>
      <c r="X3" s="359"/>
      <c r="Y3" s="359"/>
      <c r="Z3" s="359"/>
      <c r="AA3" s="359"/>
      <c r="AB3" s="425"/>
      <c r="AC3" s="446"/>
    </row>
    <row r="4" spans="1:29" ht="11.25" customHeight="1">
      <c r="A4" s="378"/>
      <c r="B4" s="382"/>
      <c r="C4" s="385"/>
      <c r="D4" s="361"/>
      <c r="E4" s="362"/>
      <c r="F4" s="362"/>
      <c r="G4" s="362"/>
      <c r="H4" s="388"/>
      <c r="I4" s="361"/>
      <c r="J4" s="362"/>
      <c r="K4" s="362"/>
      <c r="L4" s="362"/>
      <c r="M4" s="362"/>
      <c r="N4" s="362"/>
      <c r="O4" s="362"/>
      <c r="P4" s="362"/>
      <c r="Q4" s="362"/>
      <c r="R4" s="362"/>
      <c r="S4" s="362"/>
      <c r="T4" s="362"/>
      <c r="U4" s="362"/>
      <c r="V4" s="362"/>
      <c r="W4" s="362"/>
      <c r="X4" s="362"/>
      <c r="Y4" s="362"/>
      <c r="Z4" s="362"/>
      <c r="AA4" s="362"/>
      <c r="AB4" s="434"/>
      <c r="AC4" s="447" t="s">
        <v>49</v>
      </c>
    </row>
    <row r="5" spans="1:29" ht="2.25" customHeight="1">
      <c r="A5" s="378"/>
      <c r="B5" s="38"/>
      <c r="C5" s="3"/>
      <c r="D5" s="204"/>
      <c r="E5" s="397"/>
      <c r="F5" s="398"/>
      <c r="G5" s="398"/>
      <c r="H5" s="3"/>
      <c r="I5" s="397"/>
      <c r="J5" s="398"/>
      <c r="K5" s="398"/>
      <c r="L5" s="398"/>
      <c r="M5" s="398"/>
      <c r="N5" s="398"/>
      <c r="O5" s="398"/>
      <c r="P5" s="398"/>
      <c r="Q5" s="398"/>
      <c r="R5" s="398"/>
      <c r="S5" s="398"/>
      <c r="T5" s="398"/>
      <c r="U5" s="398"/>
      <c r="V5" s="398"/>
      <c r="W5" s="398"/>
      <c r="X5" s="398"/>
      <c r="Y5" s="398"/>
      <c r="Z5" s="398"/>
      <c r="AA5" s="398"/>
      <c r="AB5" s="435"/>
      <c r="AC5" s="448"/>
    </row>
    <row r="6" spans="1:29" s="201" customFormat="1" ht="15" customHeight="1">
      <c r="A6" s="378"/>
      <c r="B6" s="389" t="s">
        <v>51</v>
      </c>
      <c r="C6" s="391"/>
      <c r="D6" s="391"/>
      <c r="E6" s="391" t="s">
        <v>26</v>
      </c>
      <c r="F6" s="391" t="str">
        <f>雑収入</f>
        <v>雑収入</v>
      </c>
      <c r="G6" s="444" t="s">
        <v>27</v>
      </c>
      <c r="H6" s="391"/>
      <c r="I6" s="199" t="s">
        <v>28</v>
      </c>
      <c r="J6" s="391" t="str">
        <f>租税公課</f>
        <v>租税公課</v>
      </c>
      <c r="K6" s="391" t="s">
        <v>101</v>
      </c>
      <c r="L6" s="391" t="s">
        <v>6</v>
      </c>
      <c r="M6" s="364" t="str">
        <f>通信費</f>
        <v>通信費</v>
      </c>
      <c r="N6" s="391" t="s">
        <v>8</v>
      </c>
      <c r="O6" s="391" t="s">
        <v>9</v>
      </c>
      <c r="P6" s="391" t="s">
        <v>10</v>
      </c>
      <c r="Q6" s="364" t="str">
        <f>修繕費</f>
        <v>修繕費</v>
      </c>
      <c r="R6" s="391" t="str">
        <f>消耗品費</f>
        <v>消耗品費</v>
      </c>
      <c r="S6" s="391" t="s">
        <v>97</v>
      </c>
      <c r="T6" s="391" t="str">
        <f>給料賃金</f>
        <v>給料賃金</v>
      </c>
      <c r="U6" s="391" t="str">
        <f>外注工賃</f>
        <v>外注工賃</v>
      </c>
      <c r="V6" s="391" t="s">
        <v>16</v>
      </c>
      <c r="W6" s="364" t="str">
        <f>車両費</f>
        <v>車両費</v>
      </c>
      <c r="X6" s="484" t="str">
        <f>空欄1</f>
        <v>空欄1</v>
      </c>
      <c r="Y6" s="391" t="str">
        <f>空欄2</f>
        <v>空欄2</v>
      </c>
      <c r="Z6" s="391" t="str">
        <f>雑費</f>
        <v>雑費</v>
      </c>
      <c r="AA6" s="200" t="s">
        <v>143</v>
      </c>
      <c r="AB6" s="425"/>
      <c r="AC6" s="446"/>
    </row>
    <row r="7" spans="1:29" s="201" customFormat="1" ht="7.5" customHeight="1">
      <c r="A7" s="378"/>
      <c r="B7" s="387"/>
      <c r="C7" s="392"/>
      <c r="D7" s="392"/>
      <c r="E7" s="392"/>
      <c r="F7" s="392"/>
      <c r="G7" s="426"/>
      <c r="H7" s="392"/>
      <c r="I7" s="366" t="s">
        <v>38</v>
      </c>
      <c r="J7" s="392"/>
      <c r="K7" s="392"/>
      <c r="L7" s="392"/>
      <c r="M7" s="366"/>
      <c r="N7" s="392"/>
      <c r="O7" s="392"/>
      <c r="P7" s="392"/>
      <c r="Q7" s="366"/>
      <c r="R7" s="392"/>
      <c r="S7" s="392"/>
      <c r="T7" s="392"/>
      <c r="U7" s="392"/>
      <c r="V7" s="392"/>
      <c r="W7" s="366"/>
      <c r="X7" s="485"/>
      <c r="Y7" s="392"/>
      <c r="Z7" s="392"/>
      <c r="AA7" s="426" t="s">
        <v>98</v>
      </c>
      <c r="AB7" s="391"/>
      <c r="AC7" s="489">
        <f>繰越・8月</f>
        <v>0</v>
      </c>
    </row>
    <row r="8" spans="1:29" s="201" customFormat="1" ht="7.5" customHeight="1">
      <c r="A8" s="378"/>
      <c r="B8" s="387"/>
      <c r="C8" s="392"/>
      <c r="D8" s="392"/>
      <c r="E8" s="392" t="s">
        <v>36</v>
      </c>
      <c r="F8" s="392"/>
      <c r="G8" s="426" t="s">
        <v>37</v>
      </c>
      <c r="H8" s="392"/>
      <c r="I8" s="366"/>
      <c r="J8" s="392"/>
      <c r="K8" s="392"/>
      <c r="L8" s="392"/>
      <c r="M8" s="366"/>
      <c r="N8" s="392"/>
      <c r="O8" s="392"/>
      <c r="P8" s="392"/>
      <c r="Q8" s="366"/>
      <c r="R8" s="392"/>
      <c r="S8" s="392"/>
      <c r="T8" s="392"/>
      <c r="U8" s="392"/>
      <c r="V8" s="392"/>
      <c r="W8" s="366"/>
      <c r="X8" s="485"/>
      <c r="Y8" s="392"/>
      <c r="Z8" s="392"/>
      <c r="AA8" s="426"/>
      <c r="AB8" s="392"/>
      <c r="AC8" s="490"/>
    </row>
    <row r="9" spans="1:29" s="201" customFormat="1" ht="15" customHeight="1" thickBot="1">
      <c r="A9" s="379"/>
      <c r="B9" s="390"/>
      <c r="C9" s="393"/>
      <c r="D9" s="393"/>
      <c r="E9" s="393"/>
      <c r="F9" s="393"/>
      <c r="G9" s="416"/>
      <c r="H9" s="393"/>
      <c r="I9" s="202" t="s">
        <v>50</v>
      </c>
      <c r="J9" s="393"/>
      <c r="K9" s="393"/>
      <c r="L9" s="393"/>
      <c r="M9" s="368"/>
      <c r="N9" s="393"/>
      <c r="O9" s="393"/>
      <c r="P9" s="393"/>
      <c r="Q9" s="368"/>
      <c r="R9" s="393"/>
      <c r="S9" s="393"/>
      <c r="T9" s="393"/>
      <c r="U9" s="393"/>
      <c r="V9" s="393"/>
      <c r="W9" s="368"/>
      <c r="X9" s="486"/>
      <c r="Y9" s="393"/>
      <c r="Z9" s="393"/>
      <c r="AA9" s="203" t="s">
        <v>231</v>
      </c>
      <c r="AB9" s="392"/>
      <c r="AC9" s="490"/>
    </row>
    <row r="10" spans="1:29" s="7" customFormat="1" ht="33.75" customHeight="1">
      <c r="A10" s="455">
        <v>1</v>
      </c>
      <c r="B10" s="481"/>
      <c r="C10" s="13"/>
      <c r="D10" s="273" t="s">
        <v>177</v>
      </c>
      <c r="E10" s="216"/>
      <c r="F10" s="217"/>
      <c r="G10" s="217"/>
      <c r="H10" s="218"/>
      <c r="I10" s="217"/>
      <c r="J10" s="218"/>
      <c r="K10" s="217"/>
      <c r="L10" s="218"/>
      <c r="M10" s="217"/>
      <c r="N10" s="218"/>
      <c r="O10" s="217"/>
      <c r="P10" s="218"/>
      <c r="Q10" s="217"/>
      <c r="R10" s="218"/>
      <c r="S10" s="217"/>
      <c r="T10" s="218"/>
      <c r="U10" s="217"/>
      <c r="V10" s="217"/>
      <c r="W10" s="217"/>
      <c r="X10" s="219"/>
      <c r="Y10" s="217"/>
      <c r="Z10" s="217"/>
      <c r="AA10" s="217"/>
      <c r="AB10" s="196"/>
      <c r="AC10" s="460">
        <f>SUM($E11:$G11)-SUM($I11:$AA11)+$AC$7</f>
        <v>0</v>
      </c>
    </row>
    <row r="11" spans="1:29" s="7" customFormat="1" ht="33.75" customHeight="1" thickBot="1">
      <c r="A11" s="459"/>
      <c r="B11" s="487"/>
      <c r="C11" s="15"/>
      <c r="D11" s="274" t="s">
        <v>105</v>
      </c>
      <c r="E11" s="277"/>
      <c r="F11" s="278"/>
      <c r="G11" s="278"/>
      <c r="H11" s="276"/>
      <c r="I11" s="278"/>
      <c r="J11" s="276"/>
      <c r="K11" s="278"/>
      <c r="L11" s="276"/>
      <c r="M11" s="278"/>
      <c r="N11" s="276"/>
      <c r="O11" s="278"/>
      <c r="P11" s="276"/>
      <c r="Q11" s="278"/>
      <c r="R11" s="276"/>
      <c r="S11" s="278"/>
      <c r="T11" s="276"/>
      <c r="U11" s="278"/>
      <c r="V11" s="278"/>
      <c r="W11" s="278"/>
      <c r="X11" s="284"/>
      <c r="Y11" s="278"/>
      <c r="Z11" s="278"/>
      <c r="AA11" s="278"/>
      <c r="AB11" s="197"/>
      <c r="AC11" s="454"/>
    </row>
    <row r="12" spans="1:29" s="7" customFormat="1" ht="33.75" customHeight="1">
      <c r="A12" s="449">
        <v>2</v>
      </c>
      <c r="B12" s="483"/>
      <c r="C12" s="13"/>
      <c r="D12" s="273" t="s">
        <v>177</v>
      </c>
      <c r="E12" s="216"/>
      <c r="F12" s="217"/>
      <c r="G12" s="217"/>
      <c r="H12" s="218"/>
      <c r="I12" s="218"/>
      <c r="J12" s="218"/>
      <c r="K12" s="218"/>
      <c r="L12" s="218"/>
      <c r="M12" s="218"/>
      <c r="N12" s="218"/>
      <c r="O12" s="218"/>
      <c r="P12" s="218"/>
      <c r="Q12" s="218"/>
      <c r="R12" s="218"/>
      <c r="S12" s="218"/>
      <c r="T12" s="218"/>
      <c r="U12" s="218"/>
      <c r="V12" s="218"/>
      <c r="W12" s="218"/>
      <c r="X12" s="221"/>
      <c r="Y12" s="218"/>
      <c r="Z12" s="218"/>
      <c r="AA12" s="218"/>
      <c r="AB12" s="196"/>
      <c r="AC12" s="453">
        <f>SUM($E13:$G13)-SUM($I13:$AA13)+$AC10</f>
        <v>0</v>
      </c>
    </row>
    <row r="13" spans="1:29" s="7" customFormat="1" ht="33.75" customHeight="1" thickBot="1">
      <c r="A13" s="450"/>
      <c r="B13" s="482"/>
      <c r="C13" s="15"/>
      <c r="D13" s="274" t="s">
        <v>105</v>
      </c>
      <c r="E13" s="277"/>
      <c r="F13" s="278"/>
      <c r="G13" s="278"/>
      <c r="H13" s="276"/>
      <c r="I13" s="276"/>
      <c r="J13" s="276"/>
      <c r="K13" s="276"/>
      <c r="L13" s="276"/>
      <c r="M13" s="276"/>
      <c r="N13" s="276"/>
      <c r="O13" s="276"/>
      <c r="P13" s="276"/>
      <c r="Q13" s="276"/>
      <c r="R13" s="276"/>
      <c r="S13" s="276"/>
      <c r="T13" s="276"/>
      <c r="U13" s="276"/>
      <c r="V13" s="276"/>
      <c r="W13" s="276"/>
      <c r="X13" s="279"/>
      <c r="Y13" s="276"/>
      <c r="Z13" s="276"/>
      <c r="AA13" s="276"/>
      <c r="AB13" s="197"/>
      <c r="AC13" s="454"/>
    </row>
    <row r="14" spans="1:29" s="7" customFormat="1" ht="33.75" customHeight="1">
      <c r="A14" s="455">
        <v>3</v>
      </c>
      <c r="B14" s="481"/>
      <c r="C14" s="13"/>
      <c r="D14" s="273" t="s">
        <v>177</v>
      </c>
      <c r="E14" s="216"/>
      <c r="F14" s="217"/>
      <c r="G14" s="217"/>
      <c r="H14" s="218"/>
      <c r="I14" s="218"/>
      <c r="J14" s="218"/>
      <c r="K14" s="218"/>
      <c r="L14" s="218"/>
      <c r="M14" s="218"/>
      <c r="N14" s="218"/>
      <c r="O14" s="218"/>
      <c r="P14" s="218"/>
      <c r="Q14" s="218"/>
      <c r="R14" s="218"/>
      <c r="S14" s="218"/>
      <c r="T14" s="218"/>
      <c r="U14" s="218"/>
      <c r="V14" s="218"/>
      <c r="W14" s="218"/>
      <c r="X14" s="221"/>
      <c r="Y14" s="218"/>
      <c r="Z14" s="218"/>
      <c r="AA14" s="218"/>
      <c r="AB14" s="196"/>
      <c r="AC14" s="453">
        <f>SUM($E15:$G15)-SUM($I15:$AA15)+$AC12</f>
        <v>0</v>
      </c>
    </row>
    <row r="15" spans="1:29" s="7" customFormat="1" ht="33.75" customHeight="1" thickBot="1">
      <c r="A15" s="456"/>
      <c r="B15" s="482"/>
      <c r="C15" s="15"/>
      <c r="D15" s="274" t="s">
        <v>105</v>
      </c>
      <c r="E15" s="277"/>
      <c r="F15" s="278"/>
      <c r="G15" s="278"/>
      <c r="H15" s="276"/>
      <c r="I15" s="276"/>
      <c r="J15" s="276"/>
      <c r="K15" s="276"/>
      <c r="L15" s="276"/>
      <c r="M15" s="276"/>
      <c r="N15" s="276"/>
      <c r="O15" s="276"/>
      <c r="P15" s="276"/>
      <c r="Q15" s="276"/>
      <c r="R15" s="276"/>
      <c r="S15" s="276"/>
      <c r="T15" s="276"/>
      <c r="U15" s="276"/>
      <c r="V15" s="276"/>
      <c r="W15" s="276"/>
      <c r="X15" s="279"/>
      <c r="Y15" s="276"/>
      <c r="Z15" s="276"/>
      <c r="AA15" s="276"/>
      <c r="AB15" s="197"/>
      <c r="AC15" s="454"/>
    </row>
    <row r="16" spans="1:29" s="7" customFormat="1" ht="33.75" customHeight="1">
      <c r="A16" s="464">
        <v>4</v>
      </c>
      <c r="B16" s="481"/>
      <c r="C16" s="13"/>
      <c r="D16" s="273" t="s">
        <v>177</v>
      </c>
      <c r="E16" s="216"/>
      <c r="F16" s="217"/>
      <c r="G16" s="217"/>
      <c r="H16" s="218"/>
      <c r="I16" s="218"/>
      <c r="J16" s="218"/>
      <c r="K16" s="218"/>
      <c r="L16" s="218"/>
      <c r="M16" s="218"/>
      <c r="N16" s="218"/>
      <c r="O16" s="218"/>
      <c r="P16" s="218"/>
      <c r="Q16" s="218"/>
      <c r="R16" s="218"/>
      <c r="S16" s="218"/>
      <c r="T16" s="218"/>
      <c r="U16" s="218"/>
      <c r="V16" s="218"/>
      <c r="W16" s="218"/>
      <c r="X16" s="221"/>
      <c r="Y16" s="218"/>
      <c r="Z16" s="218"/>
      <c r="AA16" s="218"/>
      <c r="AB16" s="196"/>
      <c r="AC16" s="453">
        <f t="shared" ref="AC16" si="0">SUM($E17:$G17)-SUM($I17:$AA17)+$AC14</f>
        <v>0</v>
      </c>
    </row>
    <row r="17" spans="1:29" s="7" customFormat="1" ht="33.75" customHeight="1" thickBot="1">
      <c r="A17" s="450"/>
      <c r="B17" s="482"/>
      <c r="C17" s="15"/>
      <c r="D17" s="274" t="s">
        <v>105</v>
      </c>
      <c r="E17" s="277"/>
      <c r="F17" s="278"/>
      <c r="G17" s="278"/>
      <c r="H17" s="276"/>
      <c r="I17" s="276"/>
      <c r="J17" s="276"/>
      <c r="K17" s="276"/>
      <c r="L17" s="276"/>
      <c r="M17" s="276"/>
      <c r="N17" s="276"/>
      <c r="O17" s="276"/>
      <c r="P17" s="276"/>
      <c r="Q17" s="276"/>
      <c r="R17" s="276"/>
      <c r="S17" s="276"/>
      <c r="T17" s="276"/>
      <c r="U17" s="276"/>
      <c r="V17" s="276"/>
      <c r="W17" s="276"/>
      <c r="X17" s="279"/>
      <c r="Y17" s="276"/>
      <c r="Z17" s="276"/>
      <c r="AA17" s="276"/>
      <c r="AB17" s="197"/>
      <c r="AC17" s="454"/>
    </row>
    <row r="18" spans="1:29" s="7" customFormat="1" ht="33.75" customHeight="1">
      <c r="A18" s="455">
        <v>5</v>
      </c>
      <c r="B18" s="481"/>
      <c r="C18" s="13"/>
      <c r="D18" s="273" t="s">
        <v>177</v>
      </c>
      <c r="E18" s="216"/>
      <c r="F18" s="217"/>
      <c r="G18" s="217"/>
      <c r="H18" s="218"/>
      <c r="I18" s="218"/>
      <c r="J18" s="218"/>
      <c r="K18" s="218"/>
      <c r="L18" s="218"/>
      <c r="M18" s="218"/>
      <c r="N18" s="218"/>
      <c r="O18" s="218"/>
      <c r="P18" s="218"/>
      <c r="Q18" s="218"/>
      <c r="R18" s="218"/>
      <c r="S18" s="218"/>
      <c r="T18" s="218"/>
      <c r="U18" s="218"/>
      <c r="V18" s="218"/>
      <c r="W18" s="218"/>
      <c r="X18" s="221"/>
      <c r="Y18" s="218"/>
      <c r="Z18" s="218"/>
      <c r="AA18" s="218"/>
      <c r="AB18" s="196"/>
      <c r="AC18" s="453">
        <f t="shared" ref="AC18" si="1">SUM($E19:$G19)-SUM($I19:$AA19)+$AC16</f>
        <v>0</v>
      </c>
    </row>
    <row r="19" spans="1:29" s="7" customFormat="1" ht="33.75" customHeight="1" thickBot="1">
      <c r="A19" s="456"/>
      <c r="B19" s="482"/>
      <c r="C19" s="15"/>
      <c r="D19" s="274" t="s">
        <v>105</v>
      </c>
      <c r="E19" s="277"/>
      <c r="F19" s="278"/>
      <c r="G19" s="278"/>
      <c r="H19" s="276"/>
      <c r="I19" s="276"/>
      <c r="J19" s="276"/>
      <c r="K19" s="276"/>
      <c r="L19" s="276"/>
      <c r="M19" s="276"/>
      <c r="N19" s="276"/>
      <c r="O19" s="276"/>
      <c r="P19" s="276"/>
      <c r="Q19" s="276"/>
      <c r="R19" s="276"/>
      <c r="S19" s="276"/>
      <c r="T19" s="276"/>
      <c r="U19" s="276"/>
      <c r="V19" s="276"/>
      <c r="W19" s="276"/>
      <c r="X19" s="279"/>
      <c r="Y19" s="276"/>
      <c r="Z19" s="276"/>
      <c r="AA19" s="276"/>
      <c r="AB19" s="197"/>
      <c r="AC19" s="454"/>
    </row>
    <row r="20" spans="1:29" s="7" customFormat="1" ht="33.75" customHeight="1">
      <c r="A20" s="464">
        <v>6</v>
      </c>
      <c r="B20" s="481"/>
      <c r="C20" s="13"/>
      <c r="D20" s="273" t="s">
        <v>177</v>
      </c>
      <c r="E20" s="216"/>
      <c r="F20" s="217"/>
      <c r="G20" s="217"/>
      <c r="H20" s="218"/>
      <c r="I20" s="218"/>
      <c r="J20" s="218"/>
      <c r="K20" s="218"/>
      <c r="L20" s="218"/>
      <c r="M20" s="218"/>
      <c r="N20" s="218"/>
      <c r="O20" s="218"/>
      <c r="P20" s="218"/>
      <c r="Q20" s="218"/>
      <c r="R20" s="218"/>
      <c r="S20" s="218"/>
      <c r="T20" s="218"/>
      <c r="U20" s="218"/>
      <c r="V20" s="218"/>
      <c r="W20" s="218"/>
      <c r="X20" s="221"/>
      <c r="Y20" s="218"/>
      <c r="Z20" s="218"/>
      <c r="AA20" s="218"/>
      <c r="AB20" s="196"/>
      <c r="AC20" s="453">
        <f t="shared" ref="AC20" si="2">SUM($E21:$G21)-SUM($I21:$AA21)+$AC18</f>
        <v>0</v>
      </c>
    </row>
    <row r="21" spans="1:29" s="7" customFormat="1" ht="33.75" customHeight="1" thickBot="1">
      <c r="A21" s="450"/>
      <c r="B21" s="482"/>
      <c r="C21" s="15"/>
      <c r="D21" s="274" t="s">
        <v>105</v>
      </c>
      <c r="E21" s="277"/>
      <c r="F21" s="278"/>
      <c r="G21" s="278"/>
      <c r="H21" s="276"/>
      <c r="I21" s="276"/>
      <c r="J21" s="276"/>
      <c r="K21" s="276"/>
      <c r="L21" s="276"/>
      <c r="M21" s="276"/>
      <c r="N21" s="276"/>
      <c r="O21" s="276"/>
      <c r="P21" s="276"/>
      <c r="Q21" s="276"/>
      <c r="R21" s="276"/>
      <c r="S21" s="276"/>
      <c r="T21" s="276"/>
      <c r="U21" s="276"/>
      <c r="V21" s="276"/>
      <c r="W21" s="276"/>
      <c r="X21" s="279"/>
      <c r="Y21" s="276"/>
      <c r="Z21" s="276"/>
      <c r="AA21" s="276"/>
      <c r="AB21" s="197"/>
      <c r="AC21" s="454"/>
    </row>
    <row r="22" spans="1:29" s="7" customFormat="1" ht="33.75" customHeight="1">
      <c r="A22" s="455">
        <v>7</v>
      </c>
      <c r="B22" s="481"/>
      <c r="C22" s="13"/>
      <c r="D22" s="273" t="s">
        <v>177</v>
      </c>
      <c r="E22" s="216"/>
      <c r="F22" s="217"/>
      <c r="G22" s="217"/>
      <c r="H22" s="218"/>
      <c r="I22" s="218"/>
      <c r="J22" s="218"/>
      <c r="K22" s="218"/>
      <c r="L22" s="218"/>
      <c r="M22" s="218"/>
      <c r="N22" s="218"/>
      <c r="O22" s="218"/>
      <c r="P22" s="218"/>
      <c r="Q22" s="218"/>
      <c r="R22" s="218"/>
      <c r="S22" s="218"/>
      <c r="T22" s="218"/>
      <c r="U22" s="218"/>
      <c r="V22" s="218"/>
      <c r="W22" s="218"/>
      <c r="X22" s="221"/>
      <c r="Y22" s="218"/>
      <c r="Z22" s="218"/>
      <c r="AA22" s="218"/>
      <c r="AB22" s="196"/>
      <c r="AC22" s="453">
        <f t="shared" ref="AC22" si="3">SUM($E23:$G23)-SUM($I23:$AA23)+$AC20</f>
        <v>0</v>
      </c>
    </row>
    <row r="23" spans="1:29" s="7" customFormat="1" ht="33.75" customHeight="1" thickBot="1">
      <c r="A23" s="456"/>
      <c r="B23" s="482"/>
      <c r="C23" s="15"/>
      <c r="D23" s="274" t="s">
        <v>105</v>
      </c>
      <c r="E23" s="277"/>
      <c r="F23" s="278"/>
      <c r="G23" s="278"/>
      <c r="H23" s="276"/>
      <c r="I23" s="276"/>
      <c r="J23" s="276"/>
      <c r="K23" s="276"/>
      <c r="L23" s="276"/>
      <c r="M23" s="276"/>
      <c r="N23" s="276"/>
      <c r="O23" s="276"/>
      <c r="P23" s="276"/>
      <c r="Q23" s="276"/>
      <c r="R23" s="276"/>
      <c r="S23" s="276"/>
      <c r="T23" s="276"/>
      <c r="U23" s="276"/>
      <c r="V23" s="276"/>
      <c r="W23" s="276"/>
      <c r="X23" s="279"/>
      <c r="Y23" s="276"/>
      <c r="Z23" s="276"/>
      <c r="AA23" s="276"/>
      <c r="AB23" s="197"/>
      <c r="AC23" s="454"/>
    </row>
    <row r="24" spans="1:29" s="7" customFormat="1" ht="33.75" customHeight="1">
      <c r="A24" s="464">
        <v>8</v>
      </c>
      <c r="B24" s="481"/>
      <c r="C24" s="13"/>
      <c r="D24" s="273" t="s">
        <v>177</v>
      </c>
      <c r="E24" s="216"/>
      <c r="F24" s="217"/>
      <c r="G24" s="217"/>
      <c r="H24" s="218"/>
      <c r="I24" s="218"/>
      <c r="J24" s="218"/>
      <c r="K24" s="218"/>
      <c r="L24" s="218"/>
      <c r="M24" s="218"/>
      <c r="N24" s="218"/>
      <c r="O24" s="218"/>
      <c r="P24" s="218"/>
      <c r="Q24" s="218"/>
      <c r="R24" s="218"/>
      <c r="S24" s="218"/>
      <c r="T24" s="218"/>
      <c r="U24" s="218"/>
      <c r="V24" s="218"/>
      <c r="W24" s="218"/>
      <c r="X24" s="221"/>
      <c r="Y24" s="218"/>
      <c r="Z24" s="218"/>
      <c r="AA24" s="218"/>
      <c r="AB24" s="196"/>
      <c r="AC24" s="453">
        <f t="shared" ref="AC24" si="4">SUM($E25:$G25)-SUM($I25:$AA25)+$AC22</f>
        <v>0</v>
      </c>
    </row>
    <row r="25" spans="1:29" s="7" customFormat="1" ht="33.75" customHeight="1" thickBot="1">
      <c r="A25" s="450"/>
      <c r="B25" s="482"/>
      <c r="C25" s="15"/>
      <c r="D25" s="274" t="s">
        <v>105</v>
      </c>
      <c r="E25" s="277"/>
      <c r="F25" s="278"/>
      <c r="G25" s="278"/>
      <c r="H25" s="276"/>
      <c r="I25" s="276"/>
      <c r="J25" s="276"/>
      <c r="K25" s="276"/>
      <c r="L25" s="276"/>
      <c r="M25" s="276"/>
      <c r="N25" s="276"/>
      <c r="O25" s="276"/>
      <c r="P25" s="276"/>
      <c r="Q25" s="276"/>
      <c r="R25" s="276"/>
      <c r="S25" s="276"/>
      <c r="T25" s="276"/>
      <c r="U25" s="276"/>
      <c r="V25" s="276"/>
      <c r="W25" s="276"/>
      <c r="X25" s="279"/>
      <c r="Y25" s="276"/>
      <c r="Z25" s="276"/>
      <c r="AA25" s="276"/>
      <c r="AB25" s="197"/>
      <c r="AC25" s="454"/>
    </row>
    <row r="26" spans="1:29" s="7" customFormat="1" ht="33.75" customHeight="1">
      <c r="A26" s="455">
        <v>9</v>
      </c>
      <c r="B26" s="481"/>
      <c r="C26" s="13"/>
      <c r="D26" s="273" t="s">
        <v>177</v>
      </c>
      <c r="E26" s="216"/>
      <c r="F26" s="217"/>
      <c r="G26" s="217"/>
      <c r="H26" s="218"/>
      <c r="I26" s="218"/>
      <c r="J26" s="218"/>
      <c r="K26" s="218"/>
      <c r="L26" s="218"/>
      <c r="M26" s="218"/>
      <c r="N26" s="218"/>
      <c r="O26" s="218"/>
      <c r="P26" s="218"/>
      <c r="Q26" s="218"/>
      <c r="R26" s="218"/>
      <c r="S26" s="218"/>
      <c r="T26" s="218"/>
      <c r="U26" s="218"/>
      <c r="V26" s="218"/>
      <c r="W26" s="218"/>
      <c r="X26" s="221"/>
      <c r="Y26" s="218"/>
      <c r="Z26" s="218"/>
      <c r="AA26" s="218"/>
      <c r="AB26" s="196"/>
      <c r="AC26" s="453">
        <f t="shared" ref="AC26" si="5">SUM($E27:$G27)-SUM($I27:$AA27)+$AC24</f>
        <v>0</v>
      </c>
    </row>
    <row r="27" spans="1:29" s="7" customFormat="1" ht="33.75" customHeight="1" thickBot="1">
      <c r="A27" s="456"/>
      <c r="B27" s="482"/>
      <c r="C27" s="15"/>
      <c r="D27" s="274" t="s">
        <v>105</v>
      </c>
      <c r="E27" s="277"/>
      <c r="F27" s="278"/>
      <c r="G27" s="278"/>
      <c r="H27" s="276"/>
      <c r="I27" s="276"/>
      <c r="J27" s="276"/>
      <c r="K27" s="276"/>
      <c r="L27" s="276"/>
      <c r="M27" s="276"/>
      <c r="N27" s="276"/>
      <c r="O27" s="276"/>
      <c r="P27" s="276"/>
      <c r="Q27" s="276"/>
      <c r="R27" s="276"/>
      <c r="S27" s="276"/>
      <c r="T27" s="276"/>
      <c r="U27" s="276"/>
      <c r="V27" s="276"/>
      <c r="W27" s="276"/>
      <c r="X27" s="279"/>
      <c r="Y27" s="276"/>
      <c r="Z27" s="276"/>
      <c r="AA27" s="276"/>
      <c r="AB27" s="197"/>
      <c r="AC27" s="454"/>
    </row>
    <row r="28" spans="1:29" s="7" customFormat="1" ht="33.75" customHeight="1">
      <c r="A28" s="464">
        <v>10</v>
      </c>
      <c r="B28" s="481"/>
      <c r="C28" s="13"/>
      <c r="D28" s="273" t="s">
        <v>177</v>
      </c>
      <c r="E28" s="216"/>
      <c r="F28" s="217"/>
      <c r="G28" s="217"/>
      <c r="H28" s="218"/>
      <c r="I28" s="218"/>
      <c r="J28" s="218"/>
      <c r="K28" s="218"/>
      <c r="L28" s="218"/>
      <c r="M28" s="218"/>
      <c r="N28" s="218"/>
      <c r="O28" s="218"/>
      <c r="P28" s="218"/>
      <c r="Q28" s="218"/>
      <c r="R28" s="218"/>
      <c r="S28" s="218"/>
      <c r="T28" s="218"/>
      <c r="U28" s="218"/>
      <c r="V28" s="218"/>
      <c r="W28" s="218"/>
      <c r="X28" s="221"/>
      <c r="Y28" s="218"/>
      <c r="Z28" s="218"/>
      <c r="AA28" s="218"/>
      <c r="AB28" s="196"/>
      <c r="AC28" s="453">
        <f t="shared" ref="AC28" si="6">SUM($E29:$G29)-SUM($I29:$AA29)+$AC26</f>
        <v>0</v>
      </c>
    </row>
    <row r="29" spans="1:29" s="7" customFormat="1" ht="33.75" customHeight="1" thickBot="1">
      <c r="A29" s="450"/>
      <c r="B29" s="482"/>
      <c r="C29" s="15"/>
      <c r="D29" s="274" t="s">
        <v>105</v>
      </c>
      <c r="E29" s="277"/>
      <c r="F29" s="278"/>
      <c r="G29" s="278"/>
      <c r="H29" s="276"/>
      <c r="I29" s="276"/>
      <c r="J29" s="276"/>
      <c r="K29" s="276"/>
      <c r="L29" s="276"/>
      <c r="M29" s="276"/>
      <c r="N29" s="276"/>
      <c r="O29" s="276"/>
      <c r="P29" s="276"/>
      <c r="Q29" s="276"/>
      <c r="R29" s="276"/>
      <c r="S29" s="276"/>
      <c r="T29" s="276"/>
      <c r="U29" s="276"/>
      <c r="V29" s="276"/>
      <c r="W29" s="276"/>
      <c r="X29" s="279"/>
      <c r="Y29" s="276"/>
      <c r="Z29" s="276"/>
      <c r="AA29" s="276"/>
      <c r="AB29" s="197"/>
      <c r="AC29" s="454"/>
    </row>
    <row r="30" spans="1:29" s="7" customFormat="1" ht="33.75" customHeight="1">
      <c r="A30" s="455">
        <v>11</v>
      </c>
      <c r="B30" s="481"/>
      <c r="C30" s="13"/>
      <c r="D30" s="273" t="s">
        <v>177</v>
      </c>
      <c r="E30" s="216"/>
      <c r="F30" s="217"/>
      <c r="G30" s="217"/>
      <c r="H30" s="218"/>
      <c r="I30" s="218"/>
      <c r="J30" s="218"/>
      <c r="K30" s="218"/>
      <c r="L30" s="218"/>
      <c r="M30" s="218"/>
      <c r="N30" s="218"/>
      <c r="O30" s="218"/>
      <c r="P30" s="218"/>
      <c r="Q30" s="218"/>
      <c r="R30" s="218"/>
      <c r="S30" s="218"/>
      <c r="T30" s="218"/>
      <c r="U30" s="218"/>
      <c r="V30" s="218"/>
      <c r="W30" s="218"/>
      <c r="X30" s="221"/>
      <c r="Y30" s="218"/>
      <c r="Z30" s="218"/>
      <c r="AA30" s="218"/>
      <c r="AB30" s="196"/>
      <c r="AC30" s="453">
        <f t="shared" ref="AC30" si="7">SUM($E31:$G31)-SUM($I31:$AA31)+$AC28</f>
        <v>0</v>
      </c>
    </row>
    <row r="31" spans="1:29" s="7" customFormat="1" ht="33.75" customHeight="1" thickBot="1">
      <c r="A31" s="456"/>
      <c r="B31" s="482"/>
      <c r="C31" s="15"/>
      <c r="D31" s="274" t="s">
        <v>105</v>
      </c>
      <c r="E31" s="277"/>
      <c r="F31" s="278"/>
      <c r="G31" s="278"/>
      <c r="H31" s="276"/>
      <c r="I31" s="276"/>
      <c r="J31" s="276"/>
      <c r="K31" s="276"/>
      <c r="L31" s="276"/>
      <c r="M31" s="276"/>
      <c r="N31" s="276"/>
      <c r="O31" s="276"/>
      <c r="P31" s="276"/>
      <c r="Q31" s="276"/>
      <c r="R31" s="276"/>
      <c r="S31" s="276"/>
      <c r="T31" s="276"/>
      <c r="U31" s="276"/>
      <c r="V31" s="276"/>
      <c r="W31" s="276"/>
      <c r="X31" s="279"/>
      <c r="Y31" s="276"/>
      <c r="Z31" s="276"/>
      <c r="AA31" s="276"/>
      <c r="AB31" s="197"/>
      <c r="AC31" s="454"/>
    </row>
    <row r="32" spans="1:29" s="7" customFormat="1" ht="33.75" customHeight="1">
      <c r="A32" s="464">
        <v>12</v>
      </c>
      <c r="B32" s="481"/>
      <c r="C32" s="13"/>
      <c r="D32" s="273" t="s">
        <v>177</v>
      </c>
      <c r="E32" s="216"/>
      <c r="F32" s="217"/>
      <c r="G32" s="217"/>
      <c r="H32" s="218"/>
      <c r="I32" s="218"/>
      <c r="J32" s="218"/>
      <c r="K32" s="218"/>
      <c r="L32" s="218"/>
      <c r="M32" s="218"/>
      <c r="N32" s="218"/>
      <c r="O32" s="218"/>
      <c r="P32" s="218"/>
      <c r="Q32" s="218"/>
      <c r="R32" s="218"/>
      <c r="S32" s="218"/>
      <c r="T32" s="218"/>
      <c r="U32" s="218"/>
      <c r="V32" s="218"/>
      <c r="W32" s="218"/>
      <c r="X32" s="221"/>
      <c r="Y32" s="218"/>
      <c r="Z32" s="218"/>
      <c r="AA32" s="218"/>
      <c r="AB32" s="196"/>
      <c r="AC32" s="453">
        <f t="shared" ref="AC32" si="8">SUM($E33:$G33)-SUM($I33:$AA33)+$AC30</f>
        <v>0</v>
      </c>
    </row>
    <row r="33" spans="1:29" s="7" customFormat="1" ht="33.75" customHeight="1" thickBot="1">
      <c r="A33" s="450"/>
      <c r="B33" s="482"/>
      <c r="C33" s="15"/>
      <c r="D33" s="274" t="s">
        <v>105</v>
      </c>
      <c r="E33" s="277"/>
      <c r="F33" s="278"/>
      <c r="G33" s="278"/>
      <c r="H33" s="276"/>
      <c r="I33" s="276"/>
      <c r="J33" s="276"/>
      <c r="K33" s="276"/>
      <c r="L33" s="276"/>
      <c r="M33" s="276"/>
      <c r="N33" s="276"/>
      <c r="O33" s="276"/>
      <c r="P33" s="276"/>
      <c r="Q33" s="276"/>
      <c r="R33" s="276"/>
      <c r="S33" s="276"/>
      <c r="T33" s="276"/>
      <c r="U33" s="276"/>
      <c r="V33" s="276"/>
      <c r="W33" s="276"/>
      <c r="X33" s="279"/>
      <c r="Y33" s="276"/>
      <c r="Z33" s="276"/>
      <c r="AA33" s="276"/>
      <c r="AB33" s="197"/>
      <c r="AC33" s="454"/>
    </row>
    <row r="34" spans="1:29" s="7" customFormat="1" ht="33.75" customHeight="1">
      <c r="A34" s="455">
        <v>13</v>
      </c>
      <c r="B34" s="481"/>
      <c r="C34" s="13"/>
      <c r="D34" s="273" t="s">
        <v>177</v>
      </c>
      <c r="E34" s="216"/>
      <c r="F34" s="217"/>
      <c r="G34" s="217"/>
      <c r="H34" s="218"/>
      <c r="I34" s="218"/>
      <c r="J34" s="218"/>
      <c r="K34" s="218"/>
      <c r="L34" s="218"/>
      <c r="M34" s="218"/>
      <c r="N34" s="218"/>
      <c r="O34" s="218"/>
      <c r="P34" s="218"/>
      <c r="Q34" s="218"/>
      <c r="R34" s="218"/>
      <c r="S34" s="218"/>
      <c r="T34" s="218"/>
      <c r="U34" s="218"/>
      <c r="V34" s="218"/>
      <c r="W34" s="218"/>
      <c r="X34" s="221"/>
      <c r="Y34" s="218"/>
      <c r="Z34" s="218"/>
      <c r="AA34" s="218"/>
      <c r="AB34" s="196"/>
      <c r="AC34" s="453">
        <f>SUM($E35:$G35)-SUM($I35:$AA35)+$AC32</f>
        <v>0</v>
      </c>
    </row>
    <row r="35" spans="1:29" s="7" customFormat="1" ht="33.75" customHeight="1" thickBot="1">
      <c r="A35" s="456"/>
      <c r="B35" s="482"/>
      <c r="C35" s="15"/>
      <c r="D35" s="274" t="s">
        <v>105</v>
      </c>
      <c r="E35" s="277"/>
      <c r="F35" s="278"/>
      <c r="G35" s="278"/>
      <c r="H35" s="276"/>
      <c r="I35" s="276"/>
      <c r="J35" s="276"/>
      <c r="K35" s="276"/>
      <c r="L35" s="276"/>
      <c r="M35" s="276"/>
      <c r="N35" s="276"/>
      <c r="O35" s="276"/>
      <c r="P35" s="276"/>
      <c r="Q35" s="276"/>
      <c r="R35" s="276"/>
      <c r="S35" s="276"/>
      <c r="T35" s="276"/>
      <c r="U35" s="276"/>
      <c r="V35" s="276"/>
      <c r="W35" s="276"/>
      <c r="X35" s="279"/>
      <c r="Y35" s="276"/>
      <c r="Z35" s="276"/>
      <c r="AA35" s="276"/>
      <c r="AB35" s="197"/>
      <c r="AC35" s="454"/>
    </row>
    <row r="36" spans="1:29" s="7" customFormat="1" ht="33.75" customHeight="1">
      <c r="A36" s="464">
        <v>14</v>
      </c>
      <c r="B36" s="481"/>
      <c r="C36" s="13"/>
      <c r="D36" s="273" t="s">
        <v>177</v>
      </c>
      <c r="E36" s="216"/>
      <c r="F36" s="217"/>
      <c r="G36" s="217"/>
      <c r="H36" s="218"/>
      <c r="I36" s="218"/>
      <c r="J36" s="218"/>
      <c r="K36" s="218"/>
      <c r="L36" s="218"/>
      <c r="M36" s="218"/>
      <c r="N36" s="218"/>
      <c r="O36" s="218"/>
      <c r="P36" s="218"/>
      <c r="Q36" s="218"/>
      <c r="R36" s="218"/>
      <c r="S36" s="218"/>
      <c r="T36" s="218"/>
      <c r="U36" s="218"/>
      <c r="V36" s="218"/>
      <c r="W36" s="218"/>
      <c r="X36" s="221"/>
      <c r="Y36" s="218"/>
      <c r="Z36" s="218"/>
      <c r="AA36" s="218"/>
      <c r="AB36" s="196"/>
      <c r="AC36" s="453">
        <f t="shared" ref="AC36" si="9">SUM($E37:$G37)-SUM($I37:$AA37)+$AC34</f>
        <v>0</v>
      </c>
    </row>
    <row r="37" spans="1:29" s="7" customFormat="1" ht="33.75" customHeight="1" thickBot="1">
      <c r="A37" s="449"/>
      <c r="B37" s="483"/>
      <c r="C37" s="15"/>
      <c r="D37" s="199" t="s">
        <v>105</v>
      </c>
      <c r="E37" s="280"/>
      <c r="F37" s="281"/>
      <c r="G37" s="281"/>
      <c r="H37" s="282"/>
      <c r="I37" s="282"/>
      <c r="J37" s="282"/>
      <c r="K37" s="282"/>
      <c r="L37" s="282"/>
      <c r="M37" s="282"/>
      <c r="N37" s="282"/>
      <c r="O37" s="282"/>
      <c r="P37" s="282"/>
      <c r="Q37" s="282"/>
      <c r="R37" s="282"/>
      <c r="S37" s="282"/>
      <c r="T37" s="282"/>
      <c r="U37" s="282"/>
      <c r="V37" s="282"/>
      <c r="W37" s="282"/>
      <c r="X37" s="283"/>
      <c r="Y37" s="282"/>
      <c r="Z37" s="282"/>
      <c r="AA37" s="282"/>
      <c r="AB37" s="194"/>
      <c r="AC37" s="465"/>
    </row>
    <row r="38" spans="1:29" s="7" customFormat="1" ht="33.75" customHeight="1">
      <c r="A38" s="455">
        <v>15</v>
      </c>
      <c r="B38" s="479"/>
      <c r="C38" s="13"/>
      <c r="D38" s="273" t="s">
        <v>177</v>
      </c>
      <c r="E38" s="216"/>
      <c r="F38" s="217"/>
      <c r="G38" s="217"/>
      <c r="H38" s="218"/>
      <c r="I38" s="218"/>
      <c r="J38" s="218"/>
      <c r="K38" s="218"/>
      <c r="L38" s="218"/>
      <c r="M38" s="218"/>
      <c r="N38" s="218"/>
      <c r="O38" s="218"/>
      <c r="P38" s="218"/>
      <c r="Q38" s="218"/>
      <c r="R38" s="218"/>
      <c r="S38" s="218"/>
      <c r="T38" s="218"/>
      <c r="U38" s="218"/>
      <c r="V38" s="218"/>
      <c r="W38" s="218"/>
      <c r="X38" s="221"/>
      <c r="Y38" s="218"/>
      <c r="Z38" s="218"/>
      <c r="AA38" s="218"/>
      <c r="AB38" s="190"/>
      <c r="AC38" s="453">
        <f t="shared" ref="AC38" si="10">SUM($E39:$G39)-SUM($I39:$AA39)+$AC36</f>
        <v>0</v>
      </c>
    </row>
    <row r="39" spans="1:29" s="7" customFormat="1" ht="33.75" customHeight="1" thickBot="1">
      <c r="A39" s="459"/>
      <c r="B39" s="480"/>
      <c r="C39" s="15"/>
      <c r="D39" s="274" t="s">
        <v>105</v>
      </c>
      <c r="E39" s="277"/>
      <c r="F39" s="278"/>
      <c r="G39" s="278"/>
      <c r="H39" s="276"/>
      <c r="I39" s="276"/>
      <c r="J39" s="276"/>
      <c r="K39" s="276"/>
      <c r="L39" s="276"/>
      <c r="M39" s="276"/>
      <c r="N39" s="276"/>
      <c r="O39" s="276"/>
      <c r="P39" s="276"/>
      <c r="Q39" s="276"/>
      <c r="R39" s="276"/>
      <c r="S39" s="276"/>
      <c r="T39" s="276"/>
      <c r="U39" s="276"/>
      <c r="V39" s="276"/>
      <c r="W39" s="276"/>
      <c r="X39" s="279"/>
      <c r="Y39" s="276"/>
      <c r="Z39" s="276"/>
      <c r="AA39" s="276"/>
      <c r="AB39" s="191"/>
      <c r="AC39" s="454"/>
    </row>
    <row r="40" spans="1:29" s="7" customFormat="1" ht="33.75" customHeight="1">
      <c r="A40" s="466">
        <v>16</v>
      </c>
      <c r="B40" s="479"/>
      <c r="C40" s="13"/>
      <c r="D40" s="273" t="s">
        <v>177</v>
      </c>
      <c r="E40" s="216"/>
      <c r="F40" s="217"/>
      <c r="G40" s="217"/>
      <c r="H40" s="218"/>
      <c r="I40" s="218"/>
      <c r="J40" s="218"/>
      <c r="K40" s="218"/>
      <c r="L40" s="218"/>
      <c r="M40" s="218"/>
      <c r="N40" s="218"/>
      <c r="O40" s="218"/>
      <c r="P40" s="218"/>
      <c r="Q40" s="218"/>
      <c r="R40" s="218"/>
      <c r="S40" s="218"/>
      <c r="T40" s="218"/>
      <c r="U40" s="218"/>
      <c r="V40" s="218"/>
      <c r="W40" s="218"/>
      <c r="X40" s="221"/>
      <c r="Y40" s="218"/>
      <c r="Z40" s="218"/>
      <c r="AA40" s="218"/>
      <c r="AB40" s="190"/>
      <c r="AC40" s="453">
        <f t="shared" ref="AC40" si="11">SUM($E41:$G41)-SUM($I41:$AA41)+$AC38</f>
        <v>0</v>
      </c>
    </row>
    <row r="41" spans="1:29" s="7" customFormat="1" ht="33.75" customHeight="1" thickBot="1">
      <c r="A41" s="467"/>
      <c r="B41" s="480"/>
      <c r="C41" s="15"/>
      <c r="D41" s="274" t="s">
        <v>105</v>
      </c>
      <c r="E41" s="277"/>
      <c r="F41" s="278"/>
      <c r="G41" s="278"/>
      <c r="H41" s="276"/>
      <c r="I41" s="276"/>
      <c r="J41" s="276"/>
      <c r="K41" s="276"/>
      <c r="L41" s="276"/>
      <c r="M41" s="276"/>
      <c r="N41" s="276"/>
      <c r="O41" s="276"/>
      <c r="P41" s="276"/>
      <c r="Q41" s="276"/>
      <c r="R41" s="276"/>
      <c r="S41" s="276"/>
      <c r="T41" s="276"/>
      <c r="U41" s="276"/>
      <c r="V41" s="276"/>
      <c r="W41" s="276"/>
      <c r="X41" s="279"/>
      <c r="Y41" s="276"/>
      <c r="Z41" s="276"/>
      <c r="AA41" s="276"/>
      <c r="AB41" s="191"/>
      <c r="AC41" s="454"/>
    </row>
    <row r="42" spans="1:29" s="7" customFormat="1" ht="33.75" customHeight="1">
      <c r="A42" s="468">
        <v>17</v>
      </c>
      <c r="B42" s="483"/>
      <c r="C42" s="13"/>
      <c r="D42" s="275" t="s">
        <v>177</v>
      </c>
      <c r="E42" s="222"/>
      <c r="F42" s="223"/>
      <c r="G42" s="223"/>
      <c r="H42" s="224"/>
      <c r="I42" s="224"/>
      <c r="J42" s="224"/>
      <c r="K42" s="224"/>
      <c r="L42" s="224"/>
      <c r="M42" s="224"/>
      <c r="N42" s="224"/>
      <c r="O42" s="224"/>
      <c r="P42" s="224"/>
      <c r="Q42" s="224"/>
      <c r="R42" s="224"/>
      <c r="S42" s="224"/>
      <c r="T42" s="224"/>
      <c r="U42" s="224"/>
      <c r="V42" s="224"/>
      <c r="W42" s="224"/>
      <c r="X42" s="224"/>
      <c r="Y42" s="224"/>
      <c r="Z42" s="224"/>
      <c r="AA42" s="224"/>
      <c r="AB42" s="195"/>
      <c r="AC42" s="453">
        <f t="shared" ref="AC42" si="12">SUM($E43:$G43)-SUM($I43:$AA43)+$AC40</f>
        <v>0</v>
      </c>
    </row>
    <row r="43" spans="1:29" s="7" customFormat="1" ht="33.75" customHeight="1" thickBot="1">
      <c r="A43" s="459"/>
      <c r="B43" s="482"/>
      <c r="C43" s="15"/>
      <c r="D43" s="274" t="s">
        <v>105</v>
      </c>
      <c r="E43" s="277"/>
      <c r="F43" s="278"/>
      <c r="G43" s="278"/>
      <c r="H43" s="276"/>
      <c r="I43" s="276"/>
      <c r="J43" s="276"/>
      <c r="K43" s="276"/>
      <c r="L43" s="276"/>
      <c r="M43" s="276"/>
      <c r="N43" s="276"/>
      <c r="O43" s="276"/>
      <c r="P43" s="276"/>
      <c r="Q43" s="276"/>
      <c r="R43" s="276"/>
      <c r="S43" s="276"/>
      <c r="T43" s="276"/>
      <c r="U43" s="276"/>
      <c r="V43" s="276"/>
      <c r="W43" s="276"/>
      <c r="X43" s="276"/>
      <c r="Y43" s="276"/>
      <c r="Z43" s="276"/>
      <c r="AA43" s="276"/>
      <c r="AB43" s="197"/>
      <c r="AC43" s="454"/>
    </row>
    <row r="44" spans="1:29" s="7" customFormat="1" ht="33.75" customHeight="1">
      <c r="A44" s="455">
        <v>18</v>
      </c>
      <c r="B44" s="481"/>
      <c r="C44" s="13"/>
      <c r="D44" s="273" t="s">
        <v>177</v>
      </c>
      <c r="E44" s="216"/>
      <c r="F44" s="217"/>
      <c r="G44" s="217"/>
      <c r="H44" s="218"/>
      <c r="I44" s="218"/>
      <c r="J44" s="218"/>
      <c r="K44" s="218"/>
      <c r="L44" s="218"/>
      <c r="M44" s="218"/>
      <c r="N44" s="218"/>
      <c r="O44" s="218"/>
      <c r="P44" s="218"/>
      <c r="Q44" s="218"/>
      <c r="R44" s="218"/>
      <c r="S44" s="218"/>
      <c r="T44" s="218"/>
      <c r="U44" s="218"/>
      <c r="V44" s="218"/>
      <c r="W44" s="218"/>
      <c r="X44" s="218"/>
      <c r="Y44" s="218"/>
      <c r="Z44" s="218"/>
      <c r="AA44" s="218"/>
      <c r="AB44" s="196"/>
      <c r="AC44" s="453">
        <f t="shared" ref="AC44" si="13">SUM($E45:$G45)-SUM($I45:$AA45)+$AC42</f>
        <v>0</v>
      </c>
    </row>
    <row r="45" spans="1:29" s="7" customFormat="1" ht="33.75" customHeight="1" thickBot="1">
      <c r="A45" s="459"/>
      <c r="B45" s="482"/>
      <c r="C45" s="15"/>
      <c r="D45" s="274" t="s">
        <v>105</v>
      </c>
      <c r="E45" s="277"/>
      <c r="F45" s="278"/>
      <c r="G45" s="278"/>
      <c r="H45" s="276"/>
      <c r="I45" s="276"/>
      <c r="J45" s="276"/>
      <c r="K45" s="276"/>
      <c r="L45" s="276"/>
      <c r="M45" s="276"/>
      <c r="N45" s="276"/>
      <c r="O45" s="276"/>
      <c r="P45" s="276"/>
      <c r="Q45" s="276"/>
      <c r="R45" s="276"/>
      <c r="S45" s="276"/>
      <c r="T45" s="276"/>
      <c r="U45" s="276"/>
      <c r="V45" s="276"/>
      <c r="W45" s="276"/>
      <c r="X45" s="276"/>
      <c r="Y45" s="276"/>
      <c r="Z45" s="276"/>
      <c r="AA45" s="276"/>
      <c r="AB45" s="197"/>
      <c r="AC45" s="454"/>
    </row>
    <row r="46" spans="1:29" s="7" customFormat="1" ht="33.75" customHeight="1">
      <c r="A46" s="455">
        <v>19</v>
      </c>
      <c r="B46" s="481"/>
      <c r="C46" s="13"/>
      <c r="D46" s="273" t="s">
        <v>177</v>
      </c>
      <c r="E46" s="216"/>
      <c r="F46" s="217"/>
      <c r="G46" s="217"/>
      <c r="H46" s="218"/>
      <c r="I46" s="218"/>
      <c r="J46" s="218"/>
      <c r="K46" s="218"/>
      <c r="L46" s="218"/>
      <c r="M46" s="218"/>
      <c r="N46" s="218"/>
      <c r="O46" s="218"/>
      <c r="P46" s="218"/>
      <c r="Q46" s="218"/>
      <c r="R46" s="218"/>
      <c r="S46" s="218"/>
      <c r="T46" s="218"/>
      <c r="U46" s="218"/>
      <c r="V46" s="218"/>
      <c r="W46" s="218"/>
      <c r="X46" s="218"/>
      <c r="Y46" s="218"/>
      <c r="Z46" s="218"/>
      <c r="AA46" s="218"/>
      <c r="AB46" s="196"/>
      <c r="AC46" s="453">
        <f t="shared" ref="AC46" si="14">SUM($E47:$G47)-SUM($I47:$AA47)+$AC44</f>
        <v>0</v>
      </c>
    </row>
    <row r="47" spans="1:29" s="7" customFormat="1" ht="33.75" customHeight="1" thickBot="1">
      <c r="A47" s="459"/>
      <c r="B47" s="482"/>
      <c r="C47" s="15"/>
      <c r="D47" s="274" t="s">
        <v>105</v>
      </c>
      <c r="E47" s="277"/>
      <c r="F47" s="278"/>
      <c r="G47" s="278"/>
      <c r="H47" s="276"/>
      <c r="I47" s="276"/>
      <c r="J47" s="276"/>
      <c r="K47" s="276"/>
      <c r="L47" s="276"/>
      <c r="M47" s="276"/>
      <c r="N47" s="276"/>
      <c r="O47" s="276"/>
      <c r="P47" s="276"/>
      <c r="Q47" s="276"/>
      <c r="R47" s="276"/>
      <c r="S47" s="276"/>
      <c r="T47" s="276"/>
      <c r="U47" s="276"/>
      <c r="V47" s="276"/>
      <c r="W47" s="276"/>
      <c r="X47" s="276"/>
      <c r="Y47" s="276"/>
      <c r="Z47" s="276"/>
      <c r="AA47" s="276"/>
      <c r="AB47" s="197"/>
      <c r="AC47" s="454"/>
    </row>
    <row r="48" spans="1:29" s="7" customFormat="1" ht="33.75" customHeight="1">
      <c r="A48" s="455">
        <v>20</v>
      </c>
      <c r="B48" s="481"/>
      <c r="C48" s="13"/>
      <c r="D48" s="273" t="s">
        <v>177</v>
      </c>
      <c r="E48" s="216"/>
      <c r="F48" s="217"/>
      <c r="G48" s="217"/>
      <c r="H48" s="218"/>
      <c r="I48" s="218"/>
      <c r="J48" s="218"/>
      <c r="K48" s="218"/>
      <c r="L48" s="218"/>
      <c r="M48" s="218"/>
      <c r="N48" s="218"/>
      <c r="O48" s="218"/>
      <c r="P48" s="218"/>
      <c r="Q48" s="218"/>
      <c r="R48" s="218"/>
      <c r="S48" s="218"/>
      <c r="T48" s="218"/>
      <c r="U48" s="218"/>
      <c r="V48" s="218"/>
      <c r="W48" s="218"/>
      <c r="X48" s="218"/>
      <c r="Y48" s="218"/>
      <c r="Z48" s="218"/>
      <c r="AA48" s="218"/>
      <c r="AB48" s="196"/>
      <c r="AC48" s="453">
        <f t="shared" ref="AC48" si="15">SUM($E49:$G49)-SUM($I49:$AA49)+$AC46</f>
        <v>0</v>
      </c>
    </row>
    <row r="49" spans="1:29" s="7" customFormat="1" ht="33.75" customHeight="1" thickBot="1">
      <c r="A49" s="459"/>
      <c r="B49" s="482"/>
      <c r="C49" s="15"/>
      <c r="D49" s="274" t="s">
        <v>105</v>
      </c>
      <c r="E49" s="277"/>
      <c r="F49" s="278"/>
      <c r="G49" s="278"/>
      <c r="H49" s="276"/>
      <c r="I49" s="276"/>
      <c r="J49" s="276"/>
      <c r="K49" s="276"/>
      <c r="L49" s="276"/>
      <c r="M49" s="276"/>
      <c r="N49" s="276"/>
      <c r="O49" s="276"/>
      <c r="P49" s="276"/>
      <c r="Q49" s="276"/>
      <c r="R49" s="276"/>
      <c r="S49" s="276"/>
      <c r="T49" s="276"/>
      <c r="U49" s="276"/>
      <c r="V49" s="276"/>
      <c r="W49" s="276"/>
      <c r="X49" s="276"/>
      <c r="Y49" s="276"/>
      <c r="Z49" s="276"/>
      <c r="AA49" s="276"/>
      <c r="AB49" s="197"/>
      <c r="AC49" s="454"/>
    </row>
    <row r="50" spans="1:29" s="7" customFormat="1" ht="33.75" customHeight="1">
      <c r="A50" s="455">
        <v>21</v>
      </c>
      <c r="B50" s="481"/>
      <c r="C50" s="13"/>
      <c r="D50" s="273" t="s">
        <v>177</v>
      </c>
      <c r="E50" s="216"/>
      <c r="F50" s="217"/>
      <c r="G50" s="217"/>
      <c r="H50" s="218"/>
      <c r="I50" s="218"/>
      <c r="J50" s="218"/>
      <c r="K50" s="218"/>
      <c r="L50" s="218"/>
      <c r="M50" s="218"/>
      <c r="N50" s="218"/>
      <c r="O50" s="218"/>
      <c r="P50" s="218"/>
      <c r="Q50" s="218"/>
      <c r="R50" s="218"/>
      <c r="S50" s="218"/>
      <c r="T50" s="218"/>
      <c r="U50" s="218"/>
      <c r="V50" s="218"/>
      <c r="W50" s="218"/>
      <c r="X50" s="218"/>
      <c r="Y50" s="218"/>
      <c r="Z50" s="218"/>
      <c r="AA50" s="218"/>
      <c r="AB50" s="196"/>
      <c r="AC50" s="453">
        <f t="shared" ref="AC50" si="16">SUM($E51:$G51)-SUM($I51:$AA51)+$AC48</f>
        <v>0</v>
      </c>
    </row>
    <row r="51" spans="1:29" s="7" customFormat="1" ht="33.75" customHeight="1" thickBot="1">
      <c r="A51" s="459"/>
      <c r="B51" s="482"/>
      <c r="C51" s="15"/>
      <c r="D51" s="274" t="s">
        <v>105</v>
      </c>
      <c r="E51" s="277"/>
      <c r="F51" s="278"/>
      <c r="G51" s="278"/>
      <c r="H51" s="276"/>
      <c r="I51" s="276"/>
      <c r="J51" s="276"/>
      <c r="K51" s="276"/>
      <c r="L51" s="276"/>
      <c r="M51" s="276"/>
      <c r="N51" s="276"/>
      <c r="O51" s="276"/>
      <c r="P51" s="276"/>
      <c r="Q51" s="276"/>
      <c r="R51" s="276"/>
      <c r="S51" s="276"/>
      <c r="T51" s="276"/>
      <c r="U51" s="276"/>
      <c r="V51" s="276"/>
      <c r="W51" s="276"/>
      <c r="X51" s="276"/>
      <c r="Y51" s="276"/>
      <c r="Z51" s="276"/>
      <c r="AA51" s="276"/>
      <c r="AB51" s="197"/>
      <c r="AC51" s="454"/>
    </row>
    <row r="52" spans="1:29" s="7" customFormat="1" ht="33.75" customHeight="1">
      <c r="A52" s="455">
        <v>22</v>
      </c>
      <c r="B52" s="481"/>
      <c r="C52" s="13"/>
      <c r="D52" s="273" t="s">
        <v>177</v>
      </c>
      <c r="E52" s="216"/>
      <c r="F52" s="217"/>
      <c r="G52" s="217"/>
      <c r="H52" s="218"/>
      <c r="I52" s="218"/>
      <c r="J52" s="218"/>
      <c r="K52" s="218"/>
      <c r="L52" s="218"/>
      <c r="M52" s="218"/>
      <c r="N52" s="218"/>
      <c r="O52" s="218"/>
      <c r="P52" s="218"/>
      <c r="Q52" s="218"/>
      <c r="R52" s="218"/>
      <c r="S52" s="218"/>
      <c r="T52" s="218"/>
      <c r="U52" s="218"/>
      <c r="V52" s="218"/>
      <c r="W52" s="218"/>
      <c r="X52" s="218"/>
      <c r="Y52" s="218"/>
      <c r="Z52" s="218"/>
      <c r="AA52" s="218"/>
      <c r="AB52" s="196"/>
      <c r="AC52" s="453">
        <f t="shared" ref="AC52" si="17">SUM($E53:$G53)-SUM($I53:$AA53)+$AC50</f>
        <v>0</v>
      </c>
    </row>
    <row r="53" spans="1:29" s="7" customFormat="1" ht="33.75" customHeight="1" thickBot="1">
      <c r="A53" s="459"/>
      <c r="B53" s="482"/>
      <c r="C53" s="15"/>
      <c r="D53" s="274" t="s">
        <v>105</v>
      </c>
      <c r="E53" s="277"/>
      <c r="F53" s="278"/>
      <c r="G53" s="278"/>
      <c r="H53" s="276"/>
      <c r="I53" s="276"/>
      <c r="J53" s="276"/>
      <c r="K53" s="276"/>
      <c r="L53" s="276"/>
      <c r="M53" s="276"/>
      <c r="N53" s="276"/>
      <c r="O53" s="276"/>
      <c r="P53" s="276"/>
      <c r="Q53" s="276"/>
      <c r="R53" s="276"/>
      <c r="S53" s="276"/>
      <c r="T53" s="276"/>
      <c r="U53" s="276"/>
      <c r="V53" s="276"/>
      <c r="W53" s="276"/>
      <c r="X53" s="276"/>
      <c r="Y53" s="276"/>
      <c r="Z53" s="276"/>
      <c r="AA53" s="276"/>
      <c r="AB53" s="197"/>
      <c r="AC53" s="454"/>
    </row>
    <row r="54" spans="1:29" s="7" customFormat="1" ht="33.75" customHeight="1">
      <c r="A54" s="455">
        <v>23</v>
      </c>
      <c r="B54" s="481"/>
      <c r="C54" s="13"/>
      <c r="D54" s="273" t="s">
        <v>177</v>
      </c>
      <c r="E54" s="216"/>
      <c r="F54" s="217"/>
      <c r="G54" s="217"/>
      <c r="H54" s="218"/>
      <c r="I54" s="218"/>
      <c r="J54" s="218"/>
      <c r="K54" s="218"/>
      <c r="L54" s="218"/>
      <c r="M54" s="218"/>
      <c r="N54" s="218"/>
      <c r="O54" s="218"/>
      <c r="P54" s="218"/>
      <c r="Q54" s="218"/>
      <c r="R54" s="218"/>
      <c r="S54" s="218"/>
      <c r="T54" s="218"/>
      <c r="U54" s="218"/>
      <c r="V54" s="218"/>
      <c r="W54" s="218"/>
      <c r="X54" s="218"/>
      <c r="Y54" s="218"/>
      <c r="Z54" s="218"/>
      <c r="AA54" s="218"/>
      <c r="AB54" s="196"/>
      <c r="AC54" s="453">
        <f t="shared" ref="AC54" si="18">SUM($E55:$G55)-SUM($I55:$AA55)+$AC52</f>
        <v>0</v>
      </c>
    </row>
    <row r="55" spans="1:29" s="7" customFormat="1" ht="33.75" customHeight="1" thickBot="1">
      <c r="A55" s="459"/>
      <c r="B55" s="482"/>
      <c r="C55" s="15"/>
      <c r="D55" s="274" t="s">
        <v>105</v>
      </c>
      <c r="E55" s="277"/>
      <c r="F55" s="278"/>
      <c r="G55" s="278"/>
      <c r="H55" s="276"/>
      <c r="I55" s="276"/>
      <c r="J55" s="276"/>
      <c r="K55" s="276"/>
      <c r="L55" s="276"/>
      <c r="M55" s="276"/>
      <c r="N55" s="276"/>
      <c r="O55" s="276"/>
      <c r="P55" s="276"/>
      <c r="Q55" s="276"/>
      <c r="R55" s="276"/>
      <c r="S55" s="276"/>
      <c r="T55" s="276"/>
      <c r="U55" s="276"/>
      <c r="V55" s="276"/>
      <c r="W55" s="276"/>
      <c r="X55" s="276"/>
      <c r="Y55" s="276"/>
      <c r="Z55" s="276"/>
      <c r="AA55" s="276"/>
      <c r="AB55" s="197"/>
      <c r="AC55" s="454"/>
    </row>
    <row r="56" spans="1:29" s="7" customFormat="1" ht="33.75" customHeight="1">
      <c r="A56" s="455">
        <v>24</v>
      </c>
      <c r="B56" s="481"/>
      <c r="C56" s="13"/>
      <c r="D56" s="273" t="s">
        <v>177</v>
      </c>
      <c r="E56" s="216"/>
      <c r="F56" s="217"/>
      <c r="G56" s="217"/>
      <c r="H56" s="218"/>
      <c r="I56" s="218"/>
      <c r="J56" s="218"/>
      <c r="K56" s="218"/>
      <c r="L56" s="218"/>
      <c r="M56" s="218"/>
      <c r="N56" s="218"/>
      <c r="O56" s="218"/>
      <c r="P56" s="218"/>
      <c r="Q56" s="218"/>
      <c r="R56" s="218"/>
      <c r="S56" s="218"/>
      <c r="T56" s="218"/>
      <c r="U56" s="218"/>
      <c r="V56" s="218"/>
      <c r="W56" s="218"/>
      <c r="X56" s="218"/>
      <c r="Y56" s="218"/>
      <c r="Z56" s="218"/>
      <c r="AA56" s="218"/>
      <c r="AB56" s="196"/>
      <c r="AC56" s="453">
        <f t="shared" ref="AC56" si="19">SUM($E57:$G57)-SUM($I57:$AA57)+$AC54</f>
        <v>0</v>
      </c>
    </row>
    <row r="57" spans="1:29" s="7" customFormat="1" ht="33.75" customHeight="1" thickBot="1">
      <c r="A57" s="459"/>
      <c r="B57" s="482"/>
      <c r="C57" s="15"/>
      <c r="D57" s="274" t="s">
        <v>105</v>
      </c>
      <c r="E57" s="277"/>
      <c r="F57" s="278"/>
      <c r="G57" s="278"/>
      <c r="H57" s="276"/>
      <c r="I57" s="276"/>
      <c r="J57" s="276"/>
      <c r="K57" s="276"/>
      <c r="L57" s="276"/>
      <c r="M57" s="276"/>
      <c r="N57" s="276"/>
      <c r="O57" s="276"/>
      <c r="P57" s="276"/>
      <c r="Q57" s="276"/>
      <c r="R57" s="276"/>
      <c r="S57" s="276"/>
      <c r="T57" s="276"/>
      <c r="U57" s="276"/>
      <c r="V57" s="276"/>
      <c r="W57" s="276"/>
      <c r="X57" s="276"/>
      <c r="Y57" s="276"/>
      <c r="Z57" s="276"/>
      <c r="AA57" s="276"/>
      <c r="AB57" s="197"/>
      <c r="AC57" s="454"/>
    </row>
    <row r="58" spans="1:29" s="7" customFormat="1" ht="33.75" customHeight="1">
      <c r="A58" s="455">
        <v>25</v>
      </c>
      <c r="B58" s="481"/>
      <c r="C58" s="13"/>
      <c r="D58" s="273" t="s">
        <v>177</v>
      </c>
      <c r="E58" s="216"/>
      <c r="F58" s="217"/>
      <c r="G58" s="217"/>
      <c r="H58" s="218"/>
      <c r="I58" s="218"/>
      <c r="J58" s="218"/>
      <c r="K58" s="218"/>
      <c r="L58" s="218"/>
      <c r="M58" s="218"/>
      <c r="N58" s="218"/>
      <c r="O58" s="218"/>
      <c r="P58" s="218"/>
      <c r="Q58" s="218"/>
      <c r="R58" s="218"/>
      <c r="S58" s="218"/>
      <c r="T58" s="218"/>
      <c r="U58" s="218"/>
      <c r="V58" s="218"/>
      <c r="W58" s="218"/>
      <c r="X58" s="218"/>
      <c r="Y58" s="218"/>
      <c r="Z58" s="218"/>
      <c r="AA58" s="218"/>
      <c r="AB58" s="196"/>
      <c r="AC58" s="453">
        <f t="shared" ref="AC58" si="20">SUM($E59:$G59)-SUM($I59:$AA59)+$AC56</f>
        <v>0</v>
      </c>
    </row>
    <row r="59" spans="1:29" s="7" customFormat="1" ht="33.75" customHeight="1" thickBot="1">
      <c r="A59" s="459"/>
      <c r="B59" s="482"/>
      <c r="C59" s="15"/>
      <c r="D59" s="274" t="s">
        <v>105</v>
      </c>
      <c r="E59" s="277"/>
      <c r="F59" s="278"/>
      <c r="G59" s="278"/>
      <c r="H59" s="276"/>
      <c r="I59" s="276"/>
      <c r="J59" s="276"/>
      <c r="K59" s="276"/>
      <c r="L59" s="276"/>
      <c r="M59" s="276"/>
      <c r="N59" s="276"/>
      <c r="O59" s="276"/>
      <c r="P59" s="276"/>
      <c r="Q59" s="276"/>
      <c r="R59" s="276"/>
      <c r="S59" s="276"/>
      <c r="T59" s="276"/>
      <c r="U59" s="276"/>
      <c r="V59" s="276"/>
      <c r="W59" s="276"/>
      <c r="X59" s="276"/>
      <c r="Y59" s="276"/>
      <c r="Z59" s="276"/>
      <c r="AA59" s="276"/>
      <c r="AB59" s="197"/>
      <c r="AC59" s="454"/>
    </row>
    <row r="60" spans="1:29" s="7" customFormat="1" ht="33.75" customHeight="1">
      <c r="A60" s="455">
        <v>26</v>
      </c>
      <c r="B60" s="481"/>
      <c r="C60" s="13"/>
      <c r="D60" s="273" t="s">
        <v>177</v>
      </c>
      <c r="E60" s="216"/>
      <c r="F60" s="217"/>
      <c r="G60" s="217"/>
      <c r="H60" s="218"/>
      <c r="I60" s="218"/>
      <c r="J60" s="218"/>
      <c r="K60" s="218"/>
      <c r="L60" s="218"/>
      <c r="M60" s="218"/>
      <c r="N60" s="218"/>
      <c r="O60" s="218"/>
      <c r="P60" s="218"/>
      <c r="Q60" s="218"/>
      <c r="R60" s="218"/>
      <c r="S60" s="218"/>
      <c r="T60" s="218"/>
      <c r="U60" s="218"/>
      <c r="V60" s="218"/>
      <c r="W60" s="218"/>
      <c r="X60" s="218"/>
      <c r="Y60" s="218"/>
      <c r="Z60" s="218"/>
      <c r="AA60" s="218"/>
      <c r="AB60" s="196"/>
      <c r="AC60" s="453">
        <f t="shared" ref="AC60" si="21">SUM($E61:$G61)-SUM($I61:$AA61)+$AC58</f>
        <v>0</v>
      </c>
    </row>
    <row r="61" spans="1:29" s="7" customFormat="1" ht="33.75" customHeight="1" thickBot="1">
      <c r="A61" s="459"/>
      <c r="B61" s="482"/>
      <c r="C61" s="15"/>
      <c r="D61" s="274" t="s">
        <v>105</v>
      </c>
      <c r="E61" s="277"/>
      <c r="F61" s="278"/>
      <c r="G61" s="278"/>
      <c r="H61" s="220"/>
      <c r="I61" s="276"/>
      <c r="J61" s="276"/>
      <c r="K61" s="276"/>
      <c r="L61" s="276"/>
      <c r="M61" s="276"/>
      <c r="N61" s="276"/>
      <c r="O61" s="276"/>
      <c r="P61" s="276"/>
      <c r="Q61" s="276"/>
      <c r="R61" s="276"/>
      <c r="S61" s="276"/>
      <c r="T61" s="276"/>
      <c r="U61" s="276"/>
      <c r="V61" s="276"/>
      <c r="W61" s="276"/>
      <c r="X61" s="276"/>
      <c r="Y61" s="276"/>
      <c r="Z61" s="276"/>
      <c r="AA61" s="276"/>
      <c r="AB61" s="197"/>
      <c r="AC61" s="454"/>
    </row>
    <row r="62" spans="1:29" s="7" customFormat="1" ht="33.75" customHeight="1">
      <c r="A62" s="455">
        <v>27</v>
      </c>
      <c r="B62" s="481"/>
      <c r="C62" s="13"/>
      <c r="D62" s="273" t="s">
        <v>177</v>
      </c>
      <c r="E62" s="216"/>
      <c r="F62" s="217"/>
      <c r="G62" s="217"/>
      <c r="H62" s="218"/>
      <c r="I62" s="218"/>
      <c r="J62" s="218"/>
      <c r="K62" s="218"/>
      <c r="L62" s="218"/>
      <c r="M62" s="218"/>
      <c r="N62" s="218"/>
      <c r="O62" s="218"/>
      <c r="P62" s="218"/>
      <c r="Q62" s="218"/>
      <c r="R62" s="218"/>
      <c r="S62" s="218"/>
      <c r="T62" s="218"/>
      <c r="U62" s="218"/>
      <c r="V62" s="218"/>
      <c r="W62" s="218"/>
      <c r="X62" s="218"/>
      <c r="Y62" s="218"/>
      <c r="Z62" s="218"/>
      <c r="AA62" s="218"/>
      <c r="AB62" s="196"/>
      <c r="AC62" s="453">
        <f t="shared" ref="AC62" si="22">SUM($E63:$G63)-SUM($I63:$AA63)+$AC60</f>
        <v>0</v>
      </c>
    </row>
    <row r="63" spans="1:29" s="7" customFormat="1" ht="33.75" customHeight="1" thickBot="1">
      <c r="A63" s="459"/>
      <c r="B63" s="482"/>
      <c r="C63" s="15"/>
      <c r="D63" s="274" t="s">
        <v>105</v>
      </c>
      <c r="E63" s="277"/>
      <c r="F63" s="278"/>
      <c r="G63" s="278"/>
      <c r="H63" s="276"/>
      <c r="I63" s="276"/>
      <c r="J63" s="276"/>
      <c r="K63" s="276"/>
      <c r="L63" s="276"/>
      <c r="M63" s="276"/>
      <c r="N63" s="276"/>
      <c r="O63" s="276"/>
      <c r="P63" s="276"/>
      <c r="Q63" s="276"/>
      <c r="R63" s="276"/>
      <c r="S63" s="276"/>
      <c r="T63" s="276"/>
      <c r="U63" s="276"/>
      <c r="V63" s="276"/>
      <c r="W63" s="276"/>
      <c r="X63" s="276"/>
      <c r="Y63" s="276"/>
      <c r="Z63" s="276"/>
      <c r="AA63" s="276"/>
      <c r="AB63" s="197"/>
      <c r="AC63" s="454"/>
    </row>
    <row r="64" spans="1:29" s="7" customFormat="1" ht="33.75" customHeight="1">
      <c r="A64" s="455">
        <v>28</v>
      </c>
      <c r="B64" s="481"/>
      <c r="C64" s="13"/>
      <c r="D64" s="273" t="s">
        <v>177</v>
      </c>
      <c r="E64" s="216"/>
      <c r="F64" s="217"/>
      <c r="G64" s="217"/>
      <c r="H64" s="218"/>
      <c r="I64" s="218"/>
      <c r="J64" s="218"/>
      <c r="K64" s="218"/>
      <c r="L64" s="218"/>
      <c r="M64" s="218"/>
      <c r="N64" s="218"/>
      <c r="O64" s="218"/>
      <c r="P64" s="218"/>
      <c r="Q64" s="218"/>
      <c r="R64" s="218"/>
      <c r="S64" s="218"/>
      <c r="T64" s="218"/>
      <c r="U64" s="218"/>
      <c r="V64" s="218"/>
      <c r="W64" s="218"/>
      <c r="X64" s="218"/>
      <c r="Y64" s="218"/>
      <c r="Z64" s="218"/>
      <c r="AA64" s="218"/>
      <c r="AB64" s="196"/>
      <c r="AC64" s="453">
        <f t="shared" ref="AC64" si="23">SUM($E65:$G65)-SUM($I65:$AA65)+$AC62</f>
        <v>0</v>
      </c>
    </row>
    <row r="65" spans="1:29" s="7" customFormat="1" ht="33.75" customHeight="1" thickBot="1">
      <c r="A65" s="459"/>
      <c r="B65" s="482"/>
      <c r="C65" s="15"/>
      <c r="D65" s="274" t="s">
        <v>105</v>
      </c>
      <c r="E65" s="277"/>
      <c r="F65" s="278"/>
      <c r="G65" s="278"/>
      <c r="H65" s="276"/>
      <c r="I65" s="276"/>
      <c r="J65" s="276"/>
      <c r="K65" s="276"/>
      <c r="L65" s="276"/>
      <c r="M65" s="276"/>
      <c r="N65" s="276"/>
      <c r="O65" s="276"/>
      <c r="P65" s="276"/>
      <c r="Q65" s="276"/>
      <c r="R65" s="276"/>
      <c r="S65" s="276"/>
      <c r="T65" s="276"/>
      <c r="U65" s="276"/>
      <c r="V65" s="276"/>
      <c r="W65" s="276"/>
      <c r="X65" s="276"/>
      <c r="Y65" s="276"/>
      <c r="Z65" s="276"/>
      <c r="AA65" s="276"/>
      <c r="AB65" s="197"/>
      <c r="AC65" s="454"/>
    </row>
    <row r="66" spans="1:29" s="7" customFormat="1" ht="33.75" customHeight="1">
      <c r="A66" s="455">
        <v>29</v>
      </c>
      <c r="B66" s="481"/>
      <c r="C66" s="13"/>
      <c r="D66" s="273" t="s">
        <v>177</v>
      </c>
      <c r="E66" s="216"/>
      <c r="F66" s="217"/>
      <c r="G66" s="217"/>
      <c r="H66" s="218"/>
      <c r="I66" s="218"/>
      <c r="J66" s="218"/>
      <c r="K66" s="218"/>
      <c r="L66" s="218"/>
      <c r="M66" s="218"/>
      <c r="N66" s="218"/>
      <c r="O66" s="218"/>
      <c r="P66" s="218"/>
      <c r="Q66" s="218"/>
      <c r="R66" s="218"/>
      <c r="S66" s="218"/>
      <c r="T66" s="218"/>
      <c r="U66" s="218"/>
      <c r="V66" s="218"/>
      <c r="W66" s="218"/>
      <c r="X66" s="218"/>
      <c r="Y66" s="218"/>
      <c r="Z66" s="218"/>
      <c r="AA66" s="218"/>
      <c r="AB66" s="196"/>
      <c r="AC66" s="453">
        <f t="shared" ref="AC66" si="24">SUM($E67:$G67)-SUM($I67:$AA67)+$AC64</f>
        <v>0</v>
      </c>
    </row>
    <row r="67" spans="1:29" s="7" customFormat="1" ht="33.75" customHeight="1" thickBot="1">
      <c r="A67" s="459"/>
      <c r="B67" s="482"/>
      <c r="C67" s="15"/>
      <c r="D67" s="274" t="s">
        <v>105</v>
      </c>
      <c r="E67" s="277"/>
      <c r="F67" s="278"/>
      <c r="G67" s="278"/>
      <c r="H67" s="276"/>
      <c r="I67" s="276"/>
      <c r="J67" s="276"/>
      <c r="K67" s="276"/>
      <c r="L67" s="276"/>
      <c r="M67" s="276"/>
      <c r="N67" s="276"/>
      <c r="O67" s="276"/>
      <c r="P67" s="276"/>
      <c r="Q67" s="276"/>
      <c r="R67" s="276"/>
      <c r="S67" s="276"/>
      <c r="T67" s="276"/>
      <c r="U67" s="276"/>
      <c r="V67" s="276"/>
      <c r="W67" s="276"/>
      <c r="X67" s="276"/>
      <c r="Y67" s="276"/>
      <c r="Z67" s="276"/>
      <c r="AA67" s="276"/>
      <c r="AB67" s="197"/>
      <c r="AC67" s="454"/>
    </row>
    <row r="68" spans="1:29" s="7" customFormat="1" ht="33.75" customHeight="1">
      <c r="A68" s="455">
        <v>30</v>
      </c>
      <c r="B68" s="481"/>
      <c r="C68" s="13"/>
      <c r="D68" s="273" t="s">
        <v>177</v>
      </c>
      <c r="E68" s="216"/>
      <c r="F68" s="217"/>
      <c r="G68" s="217"/>
      <c r="H68" s="218"/>
      <c r="I68" s="218"/>
      <c r="J68" s="218"/>
      <c r="K68" s="218"/>
      <c r="L68" s="218"/>
      <c r="M68" s="218"/>
      <c r="N68" s="218"/>
      <c r="O68" s="218"/>
      <c r="P68" s="218"/>
      <c r="Q68" s="218"/>
      <c r="R68" s="218"/>
      <c r="S68" s="218"/>
      <c r="T68" s="218"/>
      <c r="U68" s="218"/>
      <c r="V68" s="218"/>
      <c r="W68" s="218"/>
      <c r="X68" s="218"/>
      <c r="Y68" s="218"/>
      <c r="Z68" s="218"/>
      <c r="AA68" s="218"/>
      <c r="AB68" s="196"/>
      <c r="AC68" s="453">
        <f t="shared" ref="AC68" si="25">SUM($E69:$G69)-SUM($I69:$AA69)+$AC66</f>
        <v>0</v>
      </c>
    </row>
    <row r="69" spans="1:29" s="7" customFormat="1" ht="33.75" customHeight="1" thickBot="1">
      <c r="A69" s="459"/>
      <c r="B69" s="482"/>
      <c r="C69" s="15"/>
      <c r="D69" s="274" t="s">
        <v>105</v>
      </c>
      <c r="E69" s="277"/>
      <c r="F69" s="278"/>
      <c r="G69" s="278"/>
      <c r="H69" s="276"/>
      <c r="I69" s="276"/>
      <c r="J69" s="276"/>
      <c r="K69" s="276"/>
      <c r="L69" s="276"/>
      <c r="M69" s="276"/>
      <c r="N69" s="276"/>
      <c r="O69" s="276"/>
      <c r="P69" s="276"/>
      <c r="Q69" s="276"/>
      <c r="R69" s="276"/>
      <c r="S69" s="276"/>
      <c r="T69" s="276"/>
      <c r="U69" s="276"/>
      <c r="V69" s="276"/>
      <c r="W69" s="276"/>
      <c r="X69" s="276"/>
      <c r="Y69" s="276"/>
      <c r="Z69" s="276"/>
      <c r="AA69" s="276"/>
      <c r="AB69" s="197"/>
      <c r="AC69" s="454"/>
    </row>
    <row r="70" spans="1:29" ht="46.5" customHeight="1">
      <c r="A70" s="469" t="s">
        <v>331</v>
      </c>
      <c r="B70" s="488"/>
      <c r="C70" s="470"/>
      <c r="D70" s="471"/>
      <c r="E70" s="287">
        <f>SUM(E$10:E$69)</f>
        <v>0</v>
      </c>
      <c r="F70" s="287">
        <f>SUM(F$10:F$69)</f>
        <v>0</v>
      </c>
      <c r="G70" s="287">
        <f>SUM(G$10:G$69)</f>
        <v>0</v>
      </c>
      <c r="H70" s="287">
        <f>SUMIF($D$10:$D$41,$D70,H$10:H$41)</f>
        <v>0</v>
      </c>
      <c r="I70" s="287">
        <f t="shared" ref="I70:AA70" si="26">SUM(I$10:I$69)</f>
        <v>0</v>
      </c>
      <c r="J70" s="287">
        <f t="shared" si="26"/>
        <v>0</v>
      </c>
      <c r="K70" s="287">
        <f t="shared" si="26"/>
        <v>0</v>
      </c>
      <c r="L70" s="287">
        <f t="shared" si="26"/>
        <v>0</v>
      </c>
      <c r="M70" s="287">
        <f t="shared" si="26"/>
        <v>0</v>
      </c>
      <c r="N70" s="287">
        <f t="shared" si="26"/>
        <v>0</v>
      </c>
      <c r="O70" s="287">
        <f t="shared" si="26"/>
        <v>0</v>
      </c>
      <c r="P70" s="287">
        <f t="shared" si="26"/>
        <v>0</v>
      </c>
      <c r="Q70" s="287">
        <f t="shared" si="26"/>
        <v>0</v>
      </c>
      <c r="R70" s="287">
        <f t="shared" si="26"/>
        <v>0</v>
      </c>
      <c r="S70" s="287">
        <f t="shared" si="26"/>
        <v>0</v>
      </c>
      <c r="T70" s="287">
        <f t="shared" si="26"/>
        <v>0</v>
      </c>
      <c r="U70" s="287">
        <f t="shared" si="26"/>
        <v>0</v>
      </c>
      <c r="V70" s="287">
        <f t="shared" si="26"/>
        <v>0</v>
      </c>
      <c r="W70" s="287">
        <f t="shared" si="26"/>
        <v>0</v>
      </c>
      <c r="X70" s="287">
        <f t="shared" si="26"/>
        <v>0</v>
      </c>
      <c r="Y70" s="287">
        <f t="shared" si="26"/>
        <v>0</v>
      </c>
      <c r="Z70" s="287">
        <f t="shared" si="26"/>
        <v>0</v>
      </c>
      <c r="AA70" s="287">
        <f t="shared" si="26"/>
        <v>0</v>
      </c>
      <c r="AB70" s="197">
        <f>SUMIF($D$10:$D$41,$D70,AB$10:AB$41)</f>
        <v>0</v>
      </c>
      <c r="AC70" s="193"/>
    </row>
    <row r="71" spans="1:29" ht="33.75" customHeight="1">
      <c r="B71" s="272" t="s">
        <v>330</v>
      </c>
      <c r="E71" s="288"/>
      <c r="F71" s="288"/>
      <c r="G71" s="288"/>
      <c r="H71" s="288"/>
      <c r="I71" s="288"/>
      <c r="J71" s="288"/>
      <c r="K71" s="288"/>
      <c r="L71" s="288"/>
      <c r="M71" s="288"/>
      <c r="N71" s="288"/>
      <c r="O71" s="288"/>
      <c r="P71" s="288"/>
      <c r="Q71" s="288"/>
      <c r="R71" s="288"/>
      <c r="S71" s="288"/>
      <c r="T71" s="288"/>
      <c r="U71" s="288"/>
      <c r="V71" s="288"/>
      <c r="W71" s="289"/>
      <c r="X71" s="289"/>
      <c r="Y71" s="288"/>
      <c r="Z71" s="288"/>
      <c r="AA71" s="288"/>
    </row>
  </sheetData>
  <sheetProtection sheet="1" objects="1" scenarios="1" selectLockedCells="1"/>
  <mergeCells count="133">
    <mergeCell ref="E5:G5"/>
    <mergeCell ref="I5:AA5"/>
    <mergeCell ref="E6:E7"/>
    <mergeCell ref="F6:F9"/>
    <mergeCell ref="G6:G7"/>
    <mergeCell ref="H6:H9"/>
    <mergeCell ref="A2:A9"/>
    <mergeCell ref="B2:B4"/>
    <mergeCell ref="C2:C4"/>
    <mergeCell ref="D2:G4"/>
    <mergeCell ref="H2:H4"/>
    <mergeCell ref="I2:AA4"/>
    <mergeCell ref="B6:B9"/>
    <mergeCell ref="C6:C9"/>
    <mergeCell ref="D6:D9"/>
    <mergeCell ref="J6:J9"/>
    <mergeCell ref="V6:V9"/>
    <mergeCell ref="K6:K9"/>
    <mergeCell ref="L6:L9"/>
    <mergeCell ref="M6:M9"/>
    <mergeCell ref="N6:N9"/>
    <mergeCell ref="O6:O9"/>
    <mergeCell ref="P6:P9"/>
    <mergeCell ref="R6:R9"/>
    <mergeCell ref="AB2:AB3"/>
    <mergeCell ref="AC2:AC3"/>
    <mergeCell ref="AB4:AB6"/>
    <mergeCell ref="AC4:AC6"/>
    <mergeCell ref="A12:A13"/>
    <mergeCell ref="B12:B13"/>
    <mergeCell ref="AC12:AC13"/>
    <mergeCell ref="A14:A15"/>
    <mergeCell ref="B14:B15"/>
    <mergeCell ref="AC14:AC15"/>
    <mergeCell ref="AB7:AB9"/>
    <mergeCell ref="AC7:AC9"/>
    <mergeCell ref="E8:E9"/>
    <mergeCell ref="G8:G9"/>
    <mergeCell ref="A10:A11"/>
    <mergeCell ref="B10:B11"/>
    <mergeCell ref="AC10:AC11"/>
    <mergeCell ref="W6:W9"/>
    <mergeCell ref="X6:X9"/>
    <mergeCell ref="Y6:Y9"/>
    <mergeCell ref="Z6:Z9"/>
    <mergeCell ref="I7:I8"/>
    <mergeCell ref="AA7:AA8"/>
    <mergeCell ref="Q6:Q9"/>
    <mergeCell ref="S6:S9"/>
    <mergeCell ref="T6:T9"/>
    <mergeCell ref="U6:U9"/>
    <mergeCell ref="A20:A21"/>
    <mergeCell ref="B20:B21"/>
    <mergeCell ref="AC20:AC21"/>
    <mergeCell ref="A22:A23"/>
    <mergeCell ref="B22:B23"/>
    <mergeCell ref="AC22:AC23"/>
    <mergeCell ref="A16:A17"/>
    <mergeCell ref="B16:B17"/>
    <mergeCell ref="AC16:AC17"/>
    <mergeCell ref="A18:A19"/>
    <mergeCell ref="B18:B19"/>
    <mergeCell ref="AC18:AC19"/>
    <mergeCell ref="A28:A29"/>
    <mergeCell ref="B28:B29"/>
    <mergeCell ref="AC28:AC29"/>
    <mergeCell ref="A30:A31"/>
    <mergeCell ref="B30:B31"/>
    <mergeCell ref="AC30:AC31"/>
    <mergeCell ref="A24:A25"/>
    <mergeCell ref="B24:B25"/>
    <mergeCell ref="AC24:AC25"/>
    <mergeCell ref="A26:A27"/>
    <mergeCell ref="B26:B27"/>
    <mergeCell ref="AC26:AC27"/>
    <mergeCell ref="A36:A37"/>
    <mergeCell ref="B36:B37"/>
    <mergeCell ref="AC36:AC37"/>
    <mergeCell ref="A38:A39"/>
    <mergeCell ref="B38:B39"/>
    <mergeCell ref="AC38:AC39"/>
    <mergeCell ref="A32:A33"/>
    <mergeCell ref="B32:B33"/>
    <mergeCell ref="AC32:AC33"/>
    <mergeCell ref="A34:A35"/>
    <mergeCell ref="B34:B35"/>
    <mergeCell ref="AC34:AC35"/>
    <mergeCell ref="A44:A45"/>
    <mergeCell ref="B44:B45"/>
    <mergeCell ref="AC44:AC45"/>
    <mergeCell ref="A46:A47"/>
    <mergeCell ref="B46:B47"/>
    <mergeCell ref="AC46:AC47"/>
    <mergeCell ref="A40:A41"/>
    <mergeCell ref="B40:B41"/>
    <mergeCell ref="AC40:AC41"/>
    <mergeCell ref="A42:A43"/>
    <mergeCell ref="B42:B43"/>
    <mergeCell ref="AC42:AC43"/>
    <mergeCell ref="A52:A53"/>
    <mergeCell ref="B52:B53"/>
    <mergeCell ref="AC52:AC53"/>
    <mergeCell ref="A54:A55"/>
    <mergeCell ref="B54:B55"/>
    <mergeCell ref="AC54:AC55"/>
    <mergeCell ref="A48:A49"/>
    <mergeCell ref="B48:B49"/>
    <mergeCell ref="AC48:AC49"/>
    <mergeCell ref="A50:A51"/>
    <mergeCell ref="B50:B51"/>
    <mergeCell ref="AC50:AC51"/>
    <mergeCell ref="A60:A61"/>
    <mergeCell ref="B60:B61"/>
    <mergeCell ref="AC60:AC61"/>
    <mergeCell ref="A62:A63"/>
    <mergeCell ref="B62:B63"/>
    <mergeCell ref="AC62:AC63"/>
    <mergeCell ref="A56:A57"/>
    <mergeCell ref="B56:B57"/>
    <mergeCell ref="AC56:AC57"/>
    <mergeCell ref="A58:A59"/>
    <mergeCell ref="B58:B59"/>
    <mergeCell ref="AC58:AC59"/>
    <mergeCell ref="A68:A69"/>
    <mergeCell ref="B68:B69"/>
    <mergeCell ref="AC68:AC69"/>
    <mergeCell ref="A70:D70"/>
    <mergeCell ref="A64:A65"/>
    <mergeCell ref="B64:B65"/>
    <mergeCell ref="AC64:AC65"/>
    <mergeCell ref="A66:A67"/>
    <mergeCell ref="B66:B67"/>
    <mergeCell ref="AC66:AC67"/>
  </mergeCells>
  <phoneticPr fontId="1"/>
  <pageMargins left="0.47244094488188981" right="0.31496062992125984" top="0.59055118110236227" bottom="0.19685039370078741" header="0.31496062992125984" footer="0.31496062992125984"/>
  <pageSetup paperSize="9" scale="45" orientation="landscape" r:id="rId1"/>
  <rowBreaks count="1" manualBreakCount="1">
    <brk id="3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0D7E7-9E54-4440-9E93-B73487BA6835}">
  <dimension ref="A1:AC73"/>
  <sheetViews>
    <sheetView zoomScale="50" zoomScaleNormal="50" workbookViewId="0">
      <pane xSplit="4" ySplit="9" topLeftCell="E67" activePane="bottomRight" state="frozen"/>
      <selection activeCell="E10" sqref="E10:AA71"/>
      <selection pane="topRight" activeCell="E10" sqref="E10:AA71"/>
      <selection pane="bottomLeft" activeCell="E10" sqref="E10:AA71"/>
      <selection pane="bottomRight" activeCell="I66" sqref="G66:I67"/>
    </sheetView>
  </sheetViews>
  <sheetFormatPr defaultRowHeight="33.75" customHeight="1"/>
  <cols>
    <col min="1" max="1" width="3.625" customWidth="1"/>
    <col min="2" max="2" width="34.375" customWidth="1"/>
    <col min="3" max="3" width="0.375" customWidth="1"/>
    <col min="4" max="4" width="4.625" customWidth="1"/>
    <col min="5" max="7" width="10" customWidth="1"/>
    <col min="8" max="8" width="0.25" customWidth="1"/>
    <col min="9" max="22" width="10" customWidth="1"/>
    <col min="23" max="24" width="10" style="17" customWidth="1"/>
    <col min="25" max="27" width="10" customWidth="1"/>
    <col min="28" max="28" width="0.25" customWidth="1"/>
    <col min="29" max="29" width="14" customWidth="1"/>
    <col min="31" max="31" width="9.75" bestFit="1" customWidth="1"/>
  </cols>
  <sheetData>
    <row r="1" spans="1:29" ht="26.25" customHeight="1" thickBot="1">
      <c r="B1" s="4"/>
    </row>
    <row r="2" spans="1:29" ht="15" customHeight="1">
      <c r="A2" s="377" t="s">
        <v>24</v>
      </c>
      <c r="B2" s="380" t="s">
        <v>340</v>
      </c>
      <c r="C2" s="383"/>
      <c r="D2" s="355" t="s">
        <v>189</v>
      </c>
      <c r="E2" s="356"/>
      <c r="F2" s="356"/>
      <c r="G2" s="356"/>
      <c r="H2" s="386"/>
      <c r="I2" s="355" t="s">
        <v>188</v>
      </c>
      <c r="J2" s="356"/>
      <c r="K2" s="356"/>
      <c r="L2" s="356"/>
      <c r="M2" s="356"/>
      <c r="N2" s="356"/>
      <c r="O2" s="356"/>
      <c r="P2" s="356"/>
      <c r="Q2" s="356"/>
      <c r="R2" s="356"/>
      <c r="S2" s="356"/>
      <c r="T2" s="356"/>
      <c r="U2" s="356"/>
      <c r="V2" s="356"/>
      <c r="W2" s="356"/>
      <c r="X2" s="356"/>
      <c r="Y2" s="356"/>
      <c r="Z2" s="356"/>
      <c r="AA2" s="356"/>
      <c r="AB2" s="424"/>
      <c r="AC2" s="445" t="s">
        <v>265</v>
      </c>
    </row>
    <row r="3" spans="1:29" ht="18.75" customHeight="1">
      <c r="A3" s="378"/>
      <c r="B3" s="381"/>
      <c r="C3" s="384"/>
      <c r="D3" s="358"/>
      <c r="E3" s="359"/>
      <c r="F3" s="359"/>
      <c r="G3" s="359"/>
      <c r="H3" s="387"/>
      <c r="I3" s="358"/>
      <c r="J3" s="359"/>
      <c r="K3" s="359"/>
      <c r="L3" s="359"/>
      <c r="M3" s="359"/>
      <c r="N3" s="359"/>
      <c r="O3" s="359"/>
      <c r="P3" s="359"/>
      <c r="Q3" s="359"/>
      <c r="R3" s="359"/>
      <c r="S3" s="359"/>
      <c r="T3" s="359"/>
      <c r="U3" s="359"/>
      <c r="V3" s="359"/>
      <c r="W3" s="359"/>
      <c r="X3" s="359"/>
      <c r="Y3" s="359"/>
      <c r="Z3" s="359"/>
      <c r="AA3" s="359"/>
      <c r="AB3" s="425"/>
      <c r="AC3" s="446"/>
    </row>
    <row r="4" spans="1:29" ht="11.25" customHeight="1">
      <c r="A4" s="378"/>
      <c r="B4" s="382"/>
      <c r="C4" s="385"/>
      <c r="D4" s="361"/>
      <c r="E4" s="362"/>
      <c r="F4" s="362"/>
      <c r="G4" s="362"/>
      <c r="H4" s="388"/>
      <c r="I4" s="361"/>
      <c r="J4" s="362"/>
      <c r="K4" s="362"/>
      <c r="L4" s="362"/>
      <c r="M4" s="362"/>
      <c r="N4" s="362"/>
      <c r="O4" s="362"/>
      <c r="P4" s="362"/>
      <c r="Q4" s="362"/>
      <c r="R4" s="362"/>
      <c r="S4" s="362"/>
      <c r="T4" s="362"/>
      <c r="U4" s="362"/>
      <c r="V4" s="362"/>
      <c r="W4" s="362"/>
      <c r="X4" s="362"/>
      <c r="Y4" s="362"/>
      <c r="Z4" s="362"/>
      <c r="AA4" s="362"/>
      <c r="AB4" s="434"/>
      <c r="AC4" s="447" t="s">
        <v>49</v>
      </c>
    </row>
    <row r="5" spans="1:29" ht="2.25" customHeight="1">
      <c r="A5" s="378"/>
      <c r="B5" s="38"/>
      <c r="C5" s="3"/>
      <c r="D5" s="204"/>
      <c r="E5" s="397"/>
      <c r="F5" s="398"/>
      <c r="G5" s="398"/>
      <c r="H5" s="3"/>
      <c r="I5" s="397"/>
      <c r="J5" s="398"/>
      <c r="K5" s="398"/>
      <c r="L5" s="398"/>
      <c r="M5" s="398"/>
      <c r="N5" s="398"/>
      <c r="O5" s="398"/>
      <c r="P5" s="398"/>
      <c r="Q5" s="398"/>
      <c r="R5" s="398"/>
      <c r="S5" s="398"/>
      <c r="T5" s="398"/>
      <c r="U5" s="398"/>
      <c r="V5" s="398"/>
      <c r="W5" s="398"/>
      <c r="X5" s="398"/>
      <c r="Y5" s="398"/>
      <c r="Z5" s="398"/>
      <c r="AA5" s="398"/>
      <c r="AB5" s="435"/>
      <c r="AC5" s="448"/>
    </row>
    <row r="6" spans="1:29" s="201" customFormat="1" ht="15" customHeight="1">
      <c r="A6" s="378"/>
      <c r="B6" s="389" t="s">
        <v>51</v>
      </c>
      <c r="C6" s="391"/>
      <c r="D6" s="391"/>
      <c r="E6" s="391" t="s">
        <v>26</v>
      </c>
      <c r="F6" s="391" t="str">
        <f>雑収入</f>
        <v>雑収入</v>
      </c>
      <c r="G6" s="444" t="s">
        <v>27</v>
      </c>
      <c r="H6" s="391"/>
      <c r="I6" s="199" t="s">
        <v>28</v>
      </c>
      <c r="J6" s="391" t="str">
        <f>租税公課</f>
        <v>租税公課</v>
      </c>
      <c r="K6" s="391" t="s">
        <v>101</v>
      </c>
      <c r="L6" s="391" t="s">
        <v>6</v>
      </c>
      <c r="M6" s="364" t="str">
        <f>通信費</f>
        <v>通信費</v>
      </c>
      <c r="N6" s="391" t="s">
        <v>8</v>
      </c>
      <c r="O6" s="391" t="s">
        <v>9</v>
      </c>
      <c r="P6" s="391" t="s">
        <v>10</v>
      </c>
      <c r="Q6" s="364" t="str">
        <f>修繕費</f>
        <v>修繕費</v>
      </c>
      <c r="R6" s="391" t="str">
        <f>消耗品費</f>
        <v>消耗品費</v>
      </c>
      <c r="S6" s="391" t="s">
        <v>97</v>
      </c>
      <c r="T6" s="391" t="str">
        <f>給料賃金</f>
        <v>給料賃金</v>
      </c>
      <c r="U6" s="391" t="str">
        <f>外注工賃</f>
        <v>外注工賃</v>
      </c>
      <c r="V6" s="391" t="s">
        <v>16</v>
      </c>
      <c r="W6" s="364" t="str">
        <f>車両費</f>
        <v>車両費</v>
      </c>
      <c r="X6" s="484" t="str">
        <f>空欄1</f>
        <v>空欄1</v>
      </c>
      <c r="Y6" s="391" t="str">
        <f>空欄2</f>
        <v>空欄2</v>
      </c>
      <c r="Z6" s="391" t="str">
        <f>雑費</f>
        <v>雑費</v>
      </c>
      <c r="AA6" s="200" t="s">
        <v>143</v>
      </c>
      <c r="AB6" s="425"/>
      <c r="AC6" s="446"/>
    </row>
    <row r="7" spans="1:29" s="201" customFormat="1" ht="7.5" customHeight="1">
      <c r="A7" s="378"/>
      <c r="B7" s="387"/>
      <c r="C7" s="392"/>
      <c r="D7" s="392"/>
      <c r="E7" s="392"/>
      <c r="F7" s="392"/>
      <c r="G7" s="426"/>
      <c r="H7" s="392"/>
      <c r="I7" s="366" t="s">
        <v>38</v>
      </c>
      <c r="J7" s="392"/>
      <c r="K7" s="392"/>
      <c r="L7" s="392"/>
      <c r="M7" s="366"/>
      <c r="N7" s="392"/>
      <c r="O7" s="392"/>
      <c r="P7" s="392"/>
      <c r="Q7" s="366"/>
      <c r="R7" s="392"/>
      <c r="S7" s="392"/>
      <c r="T7" s="392"/>
      <c r="U7" s="392"/>
      <c r="V7" s="392"/>
      <c r="W7" s="366"/>
      <c r="X7" s="485"/>
      <c r="Y7" s="392"/>
      <c r="Z7" s="392"/>
      <c r="AA7" s="426" t="s">
        <v>98</v>
      </c>
      <c r="AB7" s="391"/>
      <c r="AC7" s="489">
        <f>繰越・9月</f>
        <v>0</v>
      </c>
    </row>
    <row r="8" spans="1:29" s="201" customFormat="1" ht="7.5" customHeight="1">
      <c r="A8" s="378"/>
      <c r="B8" s="387"/>
      <c r="C8" s="392"/>
      <c r="D8" s="392"/>
      <c r="E8" s="392" t="s">
        <v>36</v>
      </c>
      <c r="F8" s="392"/>
      <c r="G8" s="426" t="s">
        <v>37</v>
      </c>
      <c r="H8" s="392"/>
      <c r="I8" s="366"/>
      <c r="J8" s="392"/>
      <c r="K8" s="392"/>
      <c r="L8" s="392"/>
      <c r="M8" s="366"/>
      <c r="N8" s="392"/>
      <c r="O8" s="392"/>
      <c r="P8" s="392"/>
      <c r="Q8" s="366"/>
      <c r="R8" s="392"/>
      <c r="S8" s="392"/>
      <c r="T8" s="392"/>
      <c r="U8" s="392"/>
      <c r="V8" s="392"/>
      <c r="W8" s="366"/>
      <c r="X8" s="485"/>
      <c r="Y8" s="392"/>
      <c r="Z8" s="392"/>
      <c r="AA8" s="426"/>
      <c r="AB8" s="392"/>
      <c r="AC8" s="490"/>
    </row>
    <row r="9" spans="1:29" s="201" customFormat="1" ht="15" customHeight="1" thickBot="1">
      <c r="A9" s="379"/>
      <c r="B9" s="390"/>
      <c r="C9" s="393"/>
      <c r="D9" s="393"/>
      <c r="E9" s="393"/>
      <c r="F9" s="393"/>
      <c r="G9" s="416"/>
      <c r="H9" s="393"/>
      <c r="I9" s="202" t="s">
        <v>50</v>
      </c>
      <c r="J9" s="393"/>
      <c r="K9" s="393"/>
      <c r="L9" s="393"/>
      <c r="M9" s="368"/>
      <c r="N9" s="393"/>
      <c r="O9" s="393"/>
      <c r="P9" s="393"/>
      <c r="Q9" s="368"/>
      <c r="R9" s="393"/>
      <c r="S9" s="393"/>
      <c r="T9" s="393"/>
      <c r="U9" s="393"/>
      <c r="V9" s="393"/>
      <c r="W9" s="368"/>
      <c r="X9" s="486"/>
      <c r="Y9" s="393"/>
      <c r="Z9" s="393"/>
      <c r="AA9" s="203" t="s">
        <v>231</v>
      </c>
      <c r="AB9" s="392"/>
      <c r="AC9" s="490"/>
    </row>
    <row r="10" spans="1:29" s="7" customFormat="1" ht="33.75" customHeight="1">
      <c r="A10" s="455">
        <v>1</v>
      </c>
      <c r="B10" s="481"/>
      <c r="C10" s="13"/>
      <c r="D10" s="273" t="s">
        <v>177</v>
      </c>
      <c r="E10" s="216"/>
      <c r="F10" s="217"/>
      <c r="G10" s="217"/>
      <c r="H10" s="218"/>
      <c r="I10" s="217"/>
      <c r="J10" s="218"/>
      <c r="K10" s="217"/>
      <c r="L10" s="218"/>
      <c r="M10" s="217"/>
      <c r="N10" s="218"/>
      <c r="O10" s="217"/>
      <c r="P10" s="218"/>
      <c r="Q10" s="217"/>
      <c r="R10" s="218"/>
      <c r="S10" s="217"/>
      <c r="T10" s="218"/>
      <c r="U10" s="217"/>
      <c r="V10" s="217"/>
      <c r="W10" s="217"/>
      <c r="X10" s="219"/>
      <c r="Y10" s="217"/>
      <c r="Z10" s="217"/>
      <c r="AA10" s="217"/>
      <c r="AB10" s="196"/>
      <c r="AC10" s="460">
        <f>SUM($E11:$G11)-SUM($I11:$AA11)+$AC$7</f>
        <v>0</v>
      </c>
    </row>
    <row r="11" spans="1:29" s="7" customFormat="1" ht="33.75" customHeight="1" thickBot="1">
      <c r="A11" s="459"/>
      <c r="B11" s="487"/>
      <c r="C11" s="15"/>
      <c r="D11" s="274" t="s">
        <v>105</v>
      </c>
      <c r="E11" s="277"/>
      <c r="F11" s="278"/>
      <c r="G11" s="278"/>
      <c r="H11" s="276"/>
      <c r="I11" s="278"/>
      <c r="J11" s="276"/>
      <c r="K11" s="278"/>
      <c r="L11" s="276"/>
      <c r="M11" s="278"/>
      <c r="N11" s="276"/>
      <c r="O11" s="278"/>
      <c r="P11" s="276"/>
      <c r="Q11" s="278"/>
      <c r="R11" s="276"/>
      <c r="S11" s="278"/>
      <c r="T11" s="276"/>
      <c r="U11" s="278"/>
      <c r="V11" s="278"/>
      <c r="W11" s="278"/>
      <c r="X11" s="284"/>
      <c r="Y11" s="278"/>
      <c r="Z11" s="278"/>
      <c r="AA11" s="278"/>
      <c r="AB11" s="197"/>
      <c r="AC11" s="454"/>
    </row>
    <row r="12" spans="1:29" s="7" customFormat="1" ht="33.75" customHeight="1">
      <c r="A12" s="449">
        <v>2</v>
      </c>
      <c r="B12" s="483"/>
      <c r="C12" s="13"/>
      <c r="D12" s="273" t="s">
        <v>177</v>
      </c>
      <c r="E12" s="216"/>
      <c r="F12" s="217"/>
      <c r="G12" s="217"/>
      <c r="H12" s="218"/>
      <c r="I12" s="218"/>
      <c r="J12" s="218"/>
      <c r="K12" s="218"/>
      <c r="L12" s="218"/>
      <c r="M12" s="218"/>
      <c r="N12" s="218"/>
      <c r="O12" s="218"/>
      <c r="P12" s="218"/>
      <c r="Q12" s="218"/>
      <c r="R12" s="218"/>
      <c r="S12" s="218"/>
      <c r="T12" s="218"/>
      <c r="U12" s="218"/>
      <c r="V12" s="218"/>
      <c r="W12" s="218"/>
      <c r="X12" s="221"/>
      <c r="Y12" s="218"/>
      <c r="Z12" s="218"/>
      <c r="AA12" s="218"/>
      <c r="AB12" s="196"/>
      <c r="AC12" s="453">
        <f>SUM($E13:$G13)-SUM($I13:$AA13)+$AC10</f>
        <v>0</v>
      </c>
    </row>
    <row r="13" spans="1:29" s="7" customFormat="1" ht="33.75" customHeight="1" thickBot="1">
      <c r="A13" s="450"/>
      <c r="B13" s="482"/>
      <c r="C13" s="15"/>
      <c r="D13" s="274" t="s">
        <v>105</v>
      </c>
      <c r="E13" s="277"/>
      <c r="F13" s="278"/>
      <c r="G13" s="278"/>
      <c r="H13" s="276"/>
      <c r="I13" s="276"/>
      <c r="J13" s="276"/>
      <c r="K13" s="276"/>
      <c r="L13" s="276"/>
      <c r="M13" s="276"/>
      <c r="N13" s="276"/>
      <c r="O13" s="276"/>
      <c r="P13" s="276"/>
      <c r="Q13" s="276"/>
      <c r="R13" s="276"/>
      <c r="S13" s="276"/>
      <c r="T13" s="276"/>
      <c r="U13" s="276"/>
      <c r="V13" s="276"/>
      <c r="W13" s="276"/>
      <c r="X13" s="279"/>
      <c r="Y13" s="276"/>
      <c r="Z13" s="276"/>
      <c r="AA13" s="276"/>
      <c r="AB13" s="197"/>
      <c r="AC13" s="454"/>
    </row>
    <row r="14" spans="1:29" s="7" customFormat="1" ht="33.75" customHeight="1">
      <c r="A14" s="455">
        <v>3</v>
      </c>
      <c r="B14" s="481"/>
      <c r="C14" s="13"/>
      <c r="D14" s="273" t="s">
        <v>177</v>
      </c>
      <c r="E14" s="216"/>
      <c r="F14" s="217"/>
      <c r="G14" s="217"/>
      <c r="H14" s="218"/>
      <c r="I14" s="218"/>
      <c r="J14" s="218"/>
      <c r="K14" s="218"/>
      <c r="L14" s="218"/>
      <c r="M14" s="218"/>
      <c r="N14" s="218"/>
      <c r="O14" s="218"/>
      <c r="P14" s="218"/>
      <c r="Q14" s="218"/>
      <c r="R14" s="218"/>
      <c r="S14" s="218"/>
      <c r="T14" s="218"/>
      <c r="U14" s="218"/>
      <c r="V14" s="218"/>
      <c r="W14" s="218"/>
      <c r="X14" s="221"/>
      <c r="Y14" s="218"/>
      <c r="Z14" s="218"/>
      <c r="AA14" s="218"/>
      <c r="AB14" s="196"/>
      <c r="AC14" s="453">
        <f>SUM($E15:$G15)-SUM($I15:$AA15)+$AC12</f>
        <v>0</v>
      </c>
    </row>
    <row r="15" spans="1:29" s="7" customFormat="1" ht="33.75" customHeight="1" thickBot="1">
      <c r="A15" s="456"/>
      <c r="B15" s="482"/>
      <c r="C15" s="15"/>
      <c r="D15" s="274" t="s">
        <v>105</v>
      </c>
      <c r="E15" s="277"/>
      <c r="F15" s="278"/>
      <c r="G15" s="278"/>
      <c r="H15" s="276"/>
      <c r="I15" s="276"/>
      <c r="J15" s="276"/>
      <c r="K15" s="276"/>
      <c r="L15" s="276"/>
      <c r="M15" s="276"/>
      <c r="N15" s="276"/>
      <c r="O15" s="276"/>
      <c r="P15" s="276"/>
      <c r="Q15" s="276"/>
      <c r="R15" s="276"/>
      <c r="S15" s="276"/>
      <c r="T15" s="276"/>
      <c r="U15" s="276"/>
      <c r="V15" s="276"/>
      <c r="W15" s="276"/>
      <c r="X15" s="279"/>
      <c r="Y15" s="276"/>
      <c r="Z15" s="276"/>
      <c r="AA15" s="276"/>
      <c r="AB15" s="197"/>
      <c r="AC15" s="454"/>
    </row>
    <row r="16" spans="1:29" s="7" customFormat="1" ht="33.75" customHeight="1">
      <c r="A16" s="464">
        <v>4</v>
      </c>
      <c r="B16" s="481"/>
      <c r="C16" s="13"/>
      <c r="D16" s="273" t="s">
        <v>177</v>
      </c>
      <c r="E16" s="216"/>
      <c r="F16" s="217"/>
      <c r="G16" s="217"/>
      <c r="H16" s="218"/>
      <c r="I16" s="218"/>
      <c r="J16" s="218"/>
      <c r="K16" s="218"/>
      <c r="L16" s="218"/>
      <c r="M16" s="218"/>
      <c r="N16" s="218"/>
      <c r="O16" s="218"/>
      <c r="P16" s="218"/>
      <c r="Q16" s="218"/>
      <c r="R16" s="218"/>
      <c r="S16" s="218"/>
      <c r="T16" s="218"/>
      <c r="U16" s="218"/>
      <c r="V16" s="218"/>
      <c r="W16" s="218"/>
      <c r="X16" s="221"/>
      <c r="Y16" s="218"/>
      <c r="Z16" s="218"/>
      <c r="AA16" s="218"/>
      <c r="AB16" s="196"/>
      <c r="AC16" s="453">
        <f t="shared" ref="AC16" si="0">SUM($E17:$G17)-SUM($I17:$AA17)+$AC14</f>
        <v>0</v>
      </c>
    </row>
    <row r="17" spans="1:29" s="7" customFormat="1" ht="33.75" customHeight="1" thickBot="1">
      <c r="A17" s="450"/>
      <c r="B17" s="482"/>
      <c r="C17" s="15"/>
      <c r="D17" s="274" t="s">
        <v>105</v>
      </c>
      <c r="E17" s="277"/>
      <c r="F17" s="278"/>
      <c r="G17" s="278"/>
      <c r="H17" s="276"/>
      <c r="I17" s="276"/>
      <c r="J17" s="276"/>
      <c r="K17" s="276"/>
      <c r="L17" s="276"/>
      <c r="M17" s="276"/>
      <c r="N17" s="276"/>
      <c r="O17" s="276"/>
      <c r="P17" s="276"/>
      <c r="Q17" s="276"/>
      <c r="R17" s="276"/>
      <c r="S17" s="276"/>
      <c r="T17" s="276"/>
      <c r="U17" s="276"/>
      <c r="V17" s="276"/>
      <c r="W17" s="276"/>
      <c r="X17" s="279"/>
      <c r="Y17" s="276"/>
      <c r="Z17" s="276"/>
      <c r="AA17" s="276"/>
      <c r="AB17" s="197"/>
      <c r="AC17" s="454"/>
    </row>
    <row r="18" spans="1:29" s="7" customFormat="1" ht="33.75" customHeight="1">
      <c r="A18" s="455">
        <v>5</v>
      </c>
      <c r="B18" s="481"/>
      <c r="C18" s="13"/>
      <c r="D18" s="273" t="s">
        <v>177</v>
      </c>
      <c r="E18" s="216"/>
      <c r="F18" s="217"/>
      <c r="G18" s="217"/>
      <c r="H18" s="218"/>
      <c r="I18" s="218"/>
      <c r="J18" s="218"/>
      <c r="K18" s="218"/>
      <c r="L18" s="218"/>
      <c r="M18" s="218"/>
      <c r="N18" s="218"/>
      <c r="O18" s="218"/>
      <c r="P18" s="218"/>
      <c r="Q18" s="218"/>
      <c r="R18" s="218"/>
      <c r="S18" s="218"/>
      <c r="T18" s="218"/>
      <c r="U18" s="218"/>
      <c r="V18" s="218"/>
      <c r="W18" s="218"/>
      <c r="X18" s="221"/>
      <c r="Y18" s="218"/>
      <c r="Z18" s="218"/>
      <c r="AA18" s="218"/>
      <c r="AB18" s="196"/>
      <c r="AC18" s="453">
        <f t="shared" ref="AC18" si="1">SUM($E19:$G19)-SUM($I19:$AA19)+$AC16</f>
        <v>0</v>
      </c>
    </row>
    <row r="19" spans="1:29" s="7" customFormat="1" ht="33.75" customHeight="1" thickBot="1">
      <c r="A19" s="456"/>
      <c r="B19" s="482"/>
      <c r="C19" s="15"/>
      <c r="D19" s="274" t="s">
        <v>105</v>
      </c>
      <c r="E19" s="277"/>
      <c r="F19" s="278"/>
      <c r="G19" s="278"/>
      <c r="H19" s="276"/>
      <c r="I19" s="276"/>
      <c r="J19" s="276"/>
      <c r="K19" s="276"/>
      <c r="L19" s="276"/>
      <c r="M19" s="276"/>
      <c r="N19" s="276"/>
      <c r="O19" s="276"/>
      <c r="P19" s="276"/>
      <c r="Q19" s="276"/>
      <c r="R19" s="276"/>
      <c r="S19" s="276"/>
      <c r="T19" s="276"/>
      <c r="U19" s="276"/>
      <c r="V19" s="276"/>
      <c r="W19" s="276"/>
      <c r="X19" s="279"/>
      <c r="Y19" s="276"/>
      <c r="Z19" s="276"/>
      <c r="AA19" s="276"/>
      <c r="AB19" s="197"/>
      <c r="AC19" s="454"/>
    </row>
    <row r="20" spans="1:29" s="7" customFormat="1" ht="33.75" customHeight="1">
      <c r="A20" s="464">
        <v>6</v>
      </c>
      <c r="B20" s="481"/>
      <c r="C20" s="13"/>
      <c r="D20" s="273" t="s">
        <v>177</v>
      </c>
      <c r="E20" s="216"/>
      <c r="F20" s="217"/>
      <c r="G20" s="217"/>
      <c r="H20" s="218"/>
      <c r="I20" s="218"/>
      <c r="J20" s="218"/>
      <c r="K20" s="218"/>
      <c r="L20" s="218"/>
      <c r="M20" s="218"/>
      <c r="N20" s="218"/>
      <c r="O20" s="218"/>
      <c r="P20" s="218"/>
      <c r="Q20" s="218"/>
      <c r="R20" s="218"/>
      <c r="S20" s="218"/>
      <c r="T20" s="218"/>
      <c r="U20" s="218"/>
      <c r="V20" s="218"/>
      <c r="W20" s="218"/>
      <c r="X20" s="221"/>
      <c r="Y20" s="218"/>
      <c r="Z20" s="218"/>
      <c r="AA20" s="218"/>
      <c r="AB20" s="196"/>
      <c r="AC20" s="453">
        <f t="shared" ref="AC20" si="2">SUM($E21:$G21)-SUM($I21:$AA21)+$AC18</f>
        <v>0</v>
      </c>
    </row>
    <row r="21" spans="1:29" s="7" customFormat="1" ht="33.75" customHeight="1" thickBot="1">
      <c r="A21" s="450"/>
      <c r="B21" s="482"/>
      <c r="C21" s="15"/>
      <c r="D21" s="274" t="s">
        <v>105</v>
      </c>
      <c r="E21" s="277"/>
      <c r="F21" s="278"/>
      <c r="G21" s="278"/>
      <c r="H21" s="276"/>
      <c r="I21" s="276"/>
      <c r="J21" s="276"/>
      <c r="K21" s="276"/>
      <c r="L21" s="276"/>
      <c r="M21" s="276"/>
      <c r="N21" s="276"/>
      <c r="O21" s="276"/>
      <c r="P21" s="276"/>
      <c r="Q21" s="276"/>
      <c r="R21" s="276"/>
      <c r="S21" s="276"/>
      <c r="T21" s="276"/>
      <c r="U21" s="276"/>
      <c r="V21" s="276"/>
      <c r="W21" s="276"/>
      <c r="X21" s="279"/>
      <c r="Y21" s="276"/>
      <c r="Z21" s="276"/>
      <c r="AA21" s="276"/>
      <c r="AB21" s="197"/>
      <c r="AC21" s="454"/>
    </row>
    <row r="22" spans="1:29" s="7" customFormat="1" ht="33.75" customHeight="1">
      <c r="A22" s="455">
        <v>7</v>
      </c>
      <c r="B22" s="481"/>
      <c r="C22" s="13"/>
      <c r="D22" s="273" t="s">
        <v>177</v>
      </c>
      <c r="E22" s="216"/>
      <c r="F22" s="217"/>
      <c r="G22" s="217"/>
      <c r="H22" s="218"/>
      <c r="I22" s="218"/>
      <c r="J22" s="218"/>
      <c r="K22" s="218"/>
      <c r="L22" s="218"/>
      <c r="M22" s="218"/>
      <c r="N22" s="218"/>
      <c r="O22" s="218"/>
      <c r="P22" s="218"/>
      <c r="Q22" s="218"/>
      <c r="R22" s="218"/>
      <c r="S22" s="218"/>
      <c r="T22" s="218"/>
      <c r="U22" s="218"/>
      <c r="V22" s="218"/>
      <c r="W22" s="218"/>
      <c r="X22" s="221"/>
      <c r="Y22" s="218"/>
      <c r="Z22" s="218"/>
      <c r="AA22" s="218"/>
      <c r="AB22" s="196"/>
      <c r="AC22" s="453">
        <f t="shared" ref="AC22" si="3">SUM($E23:$G23)-SUM($I23:$AA23)+$AC20</f>
        <v>0</v>
      </c>
    </row>
    <row r="23" spans="1:29" s="7" customFormat="1" ht="33.75" customHeight="1" thickBot="1">
      <c r="A23" s="456"/>
      <c r="B23" s="482"/>
      <c r="C23" s="15"/>
      <c r="D23" s="274" t="s">
        <v>105</v>
      </c>
      <c r="E23" s="277"/>
      <c r="F23" s="278"/>
      <c r="G23" s="278"/>
      <c r="H23" s="276"/>
      <c r="I23" s="276"/>
      <c r="J23" s="276"/>
      <c r="K23" s="276"/>
      <c r="L23" s="276"/>
      <c r="M23" s="276"/>
      <c r="N23" s="276"/>
      <c r="O23" s="276"/>
      <c r="P23" s="276"/>
      <c r="Q23" s="276"/>
      <c r="R23" s="276"/>
      <c r="S23" s="276"/>
      <c r="T23" s="276"/>
      <c r="U23" s="276"/>
      <c r="V23" s="276"/>
      <c r="W23" s="276"/>
      <c r="X23" s="279"/>
      <c r="Y23" s="276"/>
      <c r="Z23" s="276"/>
      <c r="AA23" s="276"/>
      <c r="AB23" s="197"/>
      <c r="AC23" s="454"/>
    </row>
    <row r="24" spans="1:29" s="7" customFormat="1" ht="33.75" customHeight="1">
      <c r="A24" s="464">
        <v>8</v>
      </c>
      <c r="B24" s="481"/>
      <c r="C24" s="13"/>
      <c r="D24" s="273" t="s">
        <v>177</v>
      </c>
      <c r="E24" s="216"/>
      <c r="F24" s="217"/>
      <c r="G24" s="217"/>
      <c r="H24" s="218"/>
      <c r="I24" s="218"/>
      <c r="J24" s="218"/>
      <c r="K24" s="218"/>
      <c r="L24" s="218"/>
      <c r="M24" s="218"/>
      <c r="N24" s="218"/>
      <c r="O24" s="218"/>
      <c r="P24" s="218"/>
      <c r="Q24" s="218"/>
      <c r="R24" s="218"/>
      <c r="S24" s="218"/>
      <c r="T24" s="218"/>
      <c r="U24" s="218"/>
      <c r="V24" s="218"/>
      <c r="W24" s="218"/>
      <c r="X24" s="221"/>
      <c r="Y24" s="218"/>
      <c r="Z24" s="218"/>
      <c r="AA24" s="218"/>
      <c r="AB24" s="196"/>
      <c r="AC24" s="453">
        <f t="shared" ref="AC24" si="4">SUM($E25:$G25)-SUM($I25:$AA25)+$AC22</f>
        <v>0</v>
      </c>
    </row>
    <row r="25" spans="1:29" s="7" customFormat="1" ht="33.75" customHeight="1" thickBot="1">
      <c r="A25" s="450"/>
      <c r="B25" s="482"/>
      <c r="C25" s="15"/>
      <c r="D25" s="274" t="s">
        <v>105</v>
      </c>
      <c r="E25" s="277"/>
      <c r="F25" s="278"/>
      <c r="G25" s="278"/>
      <c r="H25" s="276"/>
      <c r="I25" s="276"/>
      <c r="J25" s="276"/>
      <c r="K25" s="276"/>
      <c r="L25" s="276"/>
      <c r="M25" s="276"/>
      <c r="N25" s="276"/>
      <c r="O25" s="276"/>
      <c r="P25" s="276"/>
      <c r="Q25" s="276"/>
      <c r="R25" s="276"/>
      <c r="S25" s="276"/>
      <c r="T25" s="276"/>
      <c r="U25" s="276"/>
      <c r="V25" s="276"/>
      <c r="W25" s="276"/>
      <c r="X25" s="279"/>
      <c r="Y25" s="276"/>
      <c r="Z25" s="276"/>
      <c r="AA25" s="276"/>
      <c r="AB25" s="197"/>
      <c r="AC25" s="454"/>
    </row>
    <row r="26" spans="1:29" s="7" customFormat="1" ht="33.75" customHeight="1">
      <c r="A26" s="455">
        <v>9</v>
      </c>
      <c r="B26" s="481"/>
      <c r="C26" s="13"/>
      <c r="D26" s="273" t="s">
        <v>177</v>
      </c>
      <c r="E26" s="216"/>
      <c r="F26" s="217"/>
      <c r="G26" s="217"/>
      <c r="H26" s="218"/>
      <c r="I26" s="218"/>
      <c r="J26" s="218"/>
      <c r="K26" s="218"/>
      <c r="L26" s="218"/>
      <c r="M26" s="218"/>
      <c r="N26" s="218"/>
      <c r="O26" s="218"/>
      <c r="P26" s="218"/>
      <c r="Q26" s="218"/>
      <c r="R26" s="218"/>
      <c r="S26" s="218"/>
      <c r="T26" s="218"/>
      <c r="U26" s="218"/>
      <c r="V26" s="218"/>
      <c r="W26" s="218"/>
      <c r="X26" s="221"/>
      <c r="Y26" s="218"/>
      <c r="Z26" s="218"/>
      <c r="AA26" s="218"/>
      <c r="AB26" s="196"/>
      <c r="AC26" s="453">
        <f t="shared" ref="AC26" si="5">SUM($E27:$G27)-SUM($I27:$AA27)+$AC24</f>
        <v>0</v>
      </c>
    </row>
    <row r="27" spans="1:29" s="7" customFormat="1" ht="33.75" customHeight="1" thickBot="1">
      <c r="A27" s="456"/>
      <c r="B27" s="482"/>
      <c r="C27" s="15"/>
      <c r="D27" s="274" t="s">
        <v>105</v>
      </c>
      <c r="E27" s="277"/>
      <c r="F27" s="278"/>
      <c r="G27" s="278"/>
      <c r="H27" s="276"/>
      <c r="I27" s="276"/>
      <c r="J27" s="276"/>
      <c r="K27" s="276"/>
      <c r="L27" s="276"/>
      <c r="M27" s="276"/>
      <c r="N27" s="276"/>
      <c r="O27" s="276"/>
      <c r="P27" s="276"/>
      <c r="Q27" s="276"/>
      <c r="R27" s="276"/>
      <c r="S27" s="276"/>
      <c r="T27" s="276"/>
      <c r="U27" s="276"/>
      <c r="V27" s="276"/>
      <c r="W27" s="276"/>
      <c r="X27" s="279"/>
      <c r="Y27" s="276"/>
      <c r="Z27" s="276"/>
      <c r="AA27" s="276"/>
      <c r="AB27" s="197"/>
      <c r="AC27" s="454"/>
    </row>
    <row r="28" spans="1:29" s="7" customFormat="1" ht="33.75" customHeight="1">
      <c r="A28" s="464">
        <v>10</v>
      </c>
      <c r="B28" s="481"/>
      <c r="C28" s="13"/>
      <c r="D28" s="273" t="s">
        <v>177</v>
      </c>
      <c r="E28" s="216"/>
      <c r="F28" s="217"/>
      <c r="G28" s="217"/>
      <c r="H28" s="218"/>
      <c r="I28" s="218"/>
      <c r="J28" s="218"/>
      <c r="K28" s="218"/>
      <c r="L28" s="218"/>
      <c r="M28" s="218"/>
      <c r="N28" s="218"/>
      <c r="O28" s="218"/>
      <c r="P28" s="218"/>
      <c r="Q28" s="218"/>
      <c r="R28" s="218"/>
      <c r="S28" s="218"/>
      <c r="T28" s="218"/>
      <c r="U28" s="218"/>
      <c r="V28" s="218"/>
      <c r="W28" s="218"/>
      <c r="X28" s="221"/>
      <c r="Y28" s="218"/>
      <c r="Z28" s="218"/>
      <c r="AA28" s="218"/>
      <c r="AB28" s="196"/>
      <c r="AC28" s="453">
        <f t="shared" ref="AC28" si="6">SUM($E29:$G29)-SUM($I29:$AA29)+$AC26</f>
        <v>0</v>
      </c>
    </row>
    <row r="29" spans="1:29" s="7" customFormat="1" ht="33.75" customHeight="1" thickBot="1">
      <c r="A29" s="450"/>
      <c r="B29" s="482"/>
      <c r="C29" s="15"/>
      <c r="D29" s="274" t="s">
        <v>105</v>
      </c>
      <c r="E29" s="277"/>
      <c r="F29" s="278"/>
      <c r="G29" s="278"/>
      <c r="H29" s="276"/>
      <c r="I29" s="276"/>
      <c r="J29" s="276"/>
      <c r="K29" s="276"/>
      <c r="L29" s="276"/>
      <c r="M29" s="276"/>
      <c r="N29" s="276"/>
      <c r="O29" s="276"/>
      <c r="P29" s="276"/>
      <c r="Q29" s="276"/>
      <c r="R29" s="276"/>
      <c r="S29" s="276"/>
      <c r="T29" s="276"/>
      <c r="U29" s="276"/>
      <c r="V29" s="276"/>
      <c r="W29" s="276"/>
      <c r="X29" s="279"/>
      <c r="Y29" s="276"/>
      <c r="Z29" s="276"/>
      <c r="AA29" s="276"/>
      <c r="AB29" s="197"/>
      <c r="AC29" s="454"/>
    </row>
    <row r="30" spans="1:29" s="7" customFormat="1" ht="33.75" customHeight="1">
      <c r="A30" s="455">
        <v>11</v>
      </c>
      <c r="B30" s="481"/>
      <c r="C30" s="13"/>
      <c r="D30" s="273" t="s">
        <v>177</v>
      </c>
      <c r="E30" s="216"/>
      <c r="F30" s="217"/>
      <c r="G30" s="217"/>
      <c r="H30" s="218"/>
      <c r="I30" s="218"/>
      <c r="J30" s="218"/>
      <c r="K30" s="218"/>
      <c r="L30" s="218"/>
      <c r="M30" s="218"/>
      <c r="N30" s="218"/>
      <c r="O30" s="218"/>
      <c r="P30" s="218"/>
      <c r="Q30" s="218"/>
      <c r="R30" s="218"/>
      <c r="S30" s="218"/>
      <c r="T30" s="218"/>
      <c r="U30" s="218"/>
      <c r="V30" s="218"/>
      <c r="W30" s="218"/>
      <c r="X30" s="221"/>
      <c r="Y30" s="218"/>
      <c r="Z30" s="218"/>
      <c r="AA30" s="218"/>
      <c r="AB30" s="196"/>
      <c r="AC30" s="453">
        <f t="shared" ref="AC30" si="7">SUM($E31:$G31)-SUM($I31:$AA31)+$AC28</f>
        <v>0</v>
      </c>
    </row>
    <row r="31" spans="1:29" s="7" customFormat="1" ht="33.75" customHeight="1" thickBot="1">
      <c r="A31" s="456"/>
      <c r="B31" s="482"/>
      <c r="C31" s="15"/>
      <c r="D31" s="274" t="s">
        <v>105</v>
      </c>
      <c r="E31" s="277"/>
      <c r="F31" s="278"/>
      <c r="G31" s="278"/>
      <c r="H31" s="276"/>
      <c r="I31" s="276"/>
      <c r="J31" s="276"/>
      <c r="K31" s="276"/>
      <c r="L31" s="276"/>
      <c r="M31" s="276"/>
      <c r="N31" s="276"/>
      <c r="O31" s="276"/>
      <c r="P31" s="276"/>
      <c r="Q31" s="276"/>
      <c r="R31" s="276"/>
      <c r="S31" s="276"/>
      <c r="T31" s="276"/>
      <c r="U31" s="276"/>
      <c r="V31" s="276"/>
      <c r="W31" s="276"/>
      <c r="X31" s="279"/>
      <c r="Y31" s="276"/>
      <c r="Z31" s="276"/>
      <c r="AA31" s="276"/>
      <c r="AB31" s="197"/>
      <c r="AC31" s="454"/>
    </row>
    <row r="32" spans="1:29" s="7" customFormat="1" ht="33.75" customHeight="1">
      <c r="A32" s="464">
        <v>12</v>
      </c>
      <c r="B32" s="481"/>
      <c r="C32" s="13"/>
      <c r="D32" s="273" t="s">
        <v>177</v>
      </c>
      <c r="E32" s="216"/>
      <c r="F32" s="217"/>
      <c r="G32" s="217"/>
      <c r="H32" s="218"/>
      <c r="I32" s="218"/>
      <c r="J32" s="218"/>
      <c r="K32" s="218"/>
      <c r="L32" s="218"/>
      <c r="M32" s="218"/>
      <c r="N32" s="218"/>
      <c r="O32" s="218"/>
      <c r="P32" s="218"/>
      <c r="Q32" s="218"/>
      <c r="R32" s="218"/>
      <c r="S32" s="218"/>
      <c r="T32" s="218"/>
      <c r="U32" s="218"/>
      <c r="V32" s="218"/>
      <c r="W32" s="218"/>
      <c r="X32" s="221"/>
      <c r="Y32" s="218"/>
      <c r="Z32" s="218"/>
      <c r="AA32" s="218"/>
      <c r="AB32" s="196"/>
      <c r="AC32" s="453">
        <f t="shared" ref="AC32" si="8">SUM($E33:$G33)-SUM($I33:$AA33)+$AC30</f>
        <v>0</v>
      </c>
    </row>
    <row r="33" spans="1:29" s="7" customFormat="1" ht="33.75" customHeight="1" thickBot="1">
      <c r="A33" s="450"/>
      <c r="B33" s="482"/>
      <c r="C33" s="15"/>
      <c r="D33" s="274" t="s">
        <v>105</v>
      </c>
      <c r="E33" s="277"/>
      <c r="F33" s="278"/>
      <c r="G33" s="278"/>
      <c r="H33" s="276"/>
      <c r="I33" s="276"/>
      <c r="J33" s="276"/>
      <c r="K33" s="276"/>
      <c r="L33" s="276"/>
      <c r="M33" s="276"/>
      <c r="N33" s="276"/>
      <c r="O33" s="276"/>
      <c r="P33" s="276"/>
      <c r="Q33" s="276"/>
      <c r="R33" s="276"/>
      <c r="S33" s="276"/>
      <c r="T33" s="276"/>
      <c r="U33" s="276"/>
      <c r="V33" s="276"/>
      <c r="W33" s="276"/>
      <c r="X33" s="279"/>
      <c r="Y33" s="276"/>
      <c r="Z33" s="276"/>
      <c r="AA33" s="276"/>
      <c r="AB33" s="197"/>
      <c r="AC33" s="454"/>
    </row>
    <row r="34" spans="1:29" s="7" customFormat="1" ht="33.75" customHeight="1">
      <c r="A34" s="455">
        <v>13</v>
      </c>
      <c r="B34" s="481"/>
      <c r="C34" s="13"/>
      <c r="D34" s="273" t="s">
        <v>177</v>
      </c>
      <c r="E34" s="216"/>
      <c r="F34" s="217"/>
      <c r="G34" s="217"/>
      <c r="H34" s="218"/>
      <c r="I34" s="218"/>
      <c r="J34" s="218"/>
      <c r="K34" s="218"/>
      <c r="L34" s="218"/>
      <c r="M34" s="218"/>
      <c r="N34" s="218"/>
      <c r="O34" s="218"/>
      <c r="P34" s="218"/>
      <c r="Q34" s="218"/>
      <c r="R34" s="218"/>
      <c r="S34" s="218"/>
      <c r="T34" s="218"/>
      <c r="U34" s="218"/>
      <c r="V34" s="218"/>
      <c r="W34" s="218"/>
      <c r="X34" s="221"/>
      <c r="Y34" s="218"/>
      <c r="Z34" s="218"/>
      <c r="AA34" s="218"/>
      <c r="AB34" s="196"/>
      <c r="AC34" s="453">
        <f>SUM($E35:$G35)-SUM($I35:$AA35)+$AC32</f>
        <v>0</v>
      </c>
    </row>
    <row r="35" spans="1:29" s="7" customFormat="1" ht="33.75" customHeight="1" thickBot="1">
      <c r="A35" s="456"/>
      <c r="B35" s="482"/>
      <c r="C35" s="15"/>
      <c r="D35" s="274" t="s">
        <v>105</v>
      </c>
      <c r="E35" s="277"/>
      <c r="F35" s="278"/>
      <c r="G35" s="278"/>
      <c r="H35" s="276"/>
      <c r="I35" s="276"/>
      <c r="J35" s="276"/>
      <c r="K35" s="276"/>
      <c r="L35" s="276"/>
      <c r="M35" s="276"/>
      <c r="N35" s="276"/>
      <c r="O35" s="276"/>
      <c r="P35" s="276"/>
      <c r="Q35" s="276"/>
      <c r="R35" s="276"/>
      <c r="S35" s="276"/>
      <c r="T35" s="276"/>
      <c r="U35" s="276"/>
      <c r="V35" s="276"/>
      <c r="W35" s="276"/>
      <c r="X35" s="279"/>
      <c r="Y35" s="276"/>
      <c r="Z35" s="276"/>
      <c r="AA35" s="276"/>
      <c r="AB35" s="197"/>
      <c r="AC35" s="454"/>
    </row>
    <row r="36" spans="1:29" s="7" customFormat="1" ht="33.75" customHeight="1">
      <c r="A36" s="464">
        <v>14</v>
      </c>
      <c r="B36" s="481"/>
      <c r="C36" s="13"/>
      <c r="D36" s="273" t="s">
        <v>177</v>
      </c>
      <c r="E36" s="216"/>
      <c r="F36" s="217"/>
      <c r="G36" s="217"/>
      <c r="H36" s="218"/>
      <c r="I36" s="218"/>
      <c r="J36" s="218"/>
      <c r="K36" s="218"/>
      <c r="L36" s="218"/>
      <c r="M36" s="218"/>
      <c r="N36" s="218"/>
      <c r="O36" s="218"/>
      <c r="P36" s="218"/>
      <c r="Q36" s="218"/>
      <c r="R36" s="218"/>
      <c r="S36" s="218"/>
      <c r="T36" s="218"/>
      <c r="U36" s="218"/>
      <c r="V36" s="218"/>
      <c r="W36" s="218"/>
      <c r="X36" s="221"/>
      <c r="Y36" s="218"/>
      <c r="Z36" s="218"/>
      <c r="AA36" s="218"/>
      <c r="AB36" s="196"/>
      <c r="AC36" s="453">
        <f t="shared" ref="AC36" si="9">SUM($E37:$G37)-SUM($I37:$AA37)+$AC34</f>
        <v>0</v>
      </c>
    </row>
    <row r="37" spans="1:29" s="7" customFormat="1" ht="33.75" customHeight="1" thickBot="1">
      <c r="A37" s="449"/>
      <c r="B37" s="483"/>
      <c r="C37" s="15"/>
      <c r="D37" s="199" t="s">
        <v>105</v>
      </c>
      <c r="E37" s="280"/>
      <c r="F37" s="281"/>
      <c r="G37" s="281"/>
      <c r="H37" s="282"/>
      <c r="I37" s="282"/>
      <c r="J37" s="282"/>
      <c r="K37" s="282"/>
      <c r="L37" s="282"/>
      <c r="M37" s="282"/>
      <c r="N37" s="282"/>
      <c r="O37" s="282"/>
      <c r="P37" s="282"/>
      <c r="Q37" s="282"/>
      <c r="R37" s="282"/>
      <c r="S37" s="282"/>
      <c r="T37" s="282"/>
      <c r="U37" s="282"/>
      <c r="V37" s="282"/>
      <c r="W37" s="282"/>
      <c r="X37" s="283"/>
      <c r="Y37" s="282"/>
      <c r="Z37" s="282"/>
      <c r="AA37" s="282"/>
      <c r="AB37" s="194"/>
      <c r="AC37" s="465"/>
    </row>
    <row r="38" spans="1:29" s="7" customFormat="1" ht="33.75" customHeight="1">
      <c r="A38" s="455">
        <v>15</v>
      </c>
      <c r="B38" s="479"/>
      <c r="C38" s="13"/>
      <c r="D38" s="273" t="s">
        <v>177</v>
      </c>
      <c r="E38" s="216"/>
      <c r="F38" s="217"/>
      <c r="G38" s="217"/>
      <c r="H38" s="218"/>
      <c r="I38" s="218"/>
      <c r="J38" s="218"/>
      <c r="K38" s="218"/>
      <c r="L38" s="218"/>
      <c r="M38" s="218"/>
      <c r="N38" s="218"/>
      <c r="O38" s="218"/>
      <c r="P38" s="218"/>
      <c r="Q38" s="218"/>
      <c r="R38" s="218"/>
      <c r="S38" s="218"/>
      <c r="T38" s="218"/>
      <c r="U38" s="218"/>
      <c r="V38" s="218"/>
      <c r="W38" s="218"/>
      <c r="X38" s="221"/>
      <c r="Y38" s="218"/>
      <c r="Z38" s="218"/>
      <c r="AA38" s="218"/>
      <c r="AB38" s="190"/>
      <c r="AC38" s="453">
        <f t="shared" ref="AC38" si="10">SUM($E39:$G39)-SUM($I39:$AA39)+$AC36</f>
        <v>0</v>
      </c>
    </row>
    <row r="39" spans="1:29" s="7" customFormat="1" ht="33.75" customHeight="1" thickBot="1">
      <c r="A39" s="459"/>
      <c r="B39" s="480"/>
      <c r="C39" s="15"/>
      <c r="D39" s="274" t="s">
        <v>105</v>
      </c>
      <c r="E39" s="277"/>
      <c r="F39" s="278"/>
      <c r="G39" s="278"/>
      <c r="H39" s="276"/>
      <c r="I39" s="276"/>
      <c r="J39" s="276"/>
      <c r="K39" s="276"/>
      <c r="L39" s="276"/>
      <c r="M39" s="276"/>
      <c r="N39" s="276"/>
      <c r="O39" s="276"/>
      <c r="P39" s="276"/>
      <c r="Q39" s="276"/>
      <c r="R39" s="276"/>
      <c r="S39" s="276"/>
      <c r="T39" s="276"/>
      <c r="U39" s="276"/>
      <c r="V39" s="276"/>
      <c r="W39" s="276"/>
      <c r="X39" s="279"/>
      <c r="Y39" s="276"/>
      <c r="Z39" s="276"/>
      <c r="AA39" s="276"/>
      <c r="AB39" s="191"/>
      <c r="AC39" s="454"/>
    </row>
    <row r="40" spans="1:29" s="7" customFormat="1" ht="33.75" customHeight="1">
      <c r="A40" s="466">
        <v>16</v>
      </c>
      <c r="B40" s="479"/>
      <c r="C40" s="13"/>
      <c r="D40" s="273" t="s">
        <v>177</v>
      </c>
      <c r="E40" s="216"/>
      <c r="F40" s="217"/>
      <c r="G40" s="217"/>
      <c r="H40" s="218"/>
      <c r="I40" s="218"/>
      <c r="J40" s="218"/>
      <c r="K40" s="218"/>
      <c r="L40" s="218"/>
      <c r="M40" s="218"/>
      <c r="N40" s="218"/>
      <c r="O40" s="218"/>
      <c r="P40" s="218"/>
      <c r="Q40" s="218"/>
      <c r="R40" s="218"/>
      <c r="S40" s="218"/>
      <c r="T40" s="218"/>
      <c r="U40" s="218"/>
      <c r="V40" s="218"/>
      <c r="W40" s="218"/>
      <c r="X40" s="221"/>
      <c r="Y40" s="218"/>
      <c r="Z40" s="218"/>
      <c r="AA40" s="218"/>
      <c r="AB40" s="190"/>
      <c r="AC40" s="453">
        <f t="shared" ref="AC40" si="11">SUM($E41:$G41)-SUM($I41:$AA41)+$AC38</f>
        <v>0</v>
      </c>
    </row>
    <row r="41" spans="1:29" s="7" customFormat="1" ht="33.75" customHeight="1" thickBot="1">
      <c r="A41" s="467"/>
      <c r="B41" s="480"/>
      <c r="C41" s="15"/>
      <c r="D41" s="274" t="s">
        <v>105</v>
      </c>
      <c r="E41" s="277"/>
      <c r="F41" s="278"/>
      <c r="G41" s="278"/>
      <c r="H41" s="276"/>
      <c r="I41" s="276"/>
      <c r="J41" s="276"/>
      <c r="K41" s="276"/>
      <c r="L41" s="276"/>
      <c r="M41" s="276"/>
      <c r="N41" s="276"/>
      <c r="O41" s="276"/>
      <c r="P41" s="276"/>
      <c r="Q41" s="276"/>
      <c r="R41" s="276"/>
      <c r="S41" s="276"/>
      <c r="T41" s="276"/>
      <c r="U41" s="276"/>
      <c r="V41" s="276"/>
      <c r="W41" s="276"/>
      <c r="X41" s="279"/>
      <c r="Y41" s="276"/>
      <c r="Z41" s="276"/>
      <c r="AA41" s="276"/>
      <c r="AB41" s="191"/>
      <c r="AC41" s="454"/>
    </row>
    <row r="42" spans="1:29" s="7" customFormat="1" ht="33.75" customHeight="1">
      <c r="A42" s="468">
        <v>17</v>
      </c>
      <c r="B42" s="483"/>
      <c r="C42" s="13"/>
      <c r="D42" s="275" t="s">
        <v>177</v>
      </c>
      <c r="E42" s="222"/>
      <c r="F42" s="223"/>
      <c r="G42" s="223"/>
      <c r="H42" s="224"/>
      <c r="I42" s="224"/>
      <c r="J42" s="224"/>
      <c r="K42" s="224"/>
      <c r="L42" s="224"/>
      <c r="M42" s="224"/>
      <c r="N42" s="224"/>
      <c r="O42" s="224"/>
      <c r="P42" s="224"/>
      <c r="Q42" s="224"/>
      <c r="R42" s="224"/>
      <c r="S42" s="224"/>
      <c r="T42" s="224"/>
      <c r="U42" s="224"/>
      <c r="V42" s="224"/>
      <c r="W42" s="224"/>
      <c r="X42" s="224"/>
      <c r="Y42" s="224"/>
      <c r="Z42" s="224"/>
      <c r="AA42" s="224"/>
      <c r="AB42" s="195"/>
      <c r="AC42" s="453">
        <f t="shared" ref="AC42" si="12">SUM($E43:$G43)-SUM($I43:$AA43)+$AC40</f>
        <v>0</v>
      </c>
    </row>
    <row r="43" spans="1:29" s="7" customFormat="1" ht="33.75" customHeight="1" thickBot="1">
      <c r="A43" s="459"/>
      <c r="B43" s="482"/>
      <c r="C43" s="15"/>
      <c r="D43" s="274" t="s">
        <v>105</v>
      </c>
      <c r="E43" s="277"/>
      <c r="F43" s="278"/>
      <c r="G43" s="278"/>
      <c r="H43" s="276"/>
      <c r="I43" s="276"/>
      <c r="J43" s="276"/>
      <c r="K43" s="276"/>
      <c r="L43" s="276"/>
      <c r="M43" s="276"/>
      <c r="N43" s="276"/>
      <c r="O43" s="276"/>
      <c r="P43" s="276"/>
      <c r="Q43" s="276"/>
      <c r="R43" s="276"/>
      <c r="S43" s="276"/>
      <c r="T43" s="276"/>
      <c r="U43" s="276"/>
      <c r="V43" s="276"/>
      <c r="W43" s="276"/>
      <c r="X43" s="276"/>
      <c r="Y43" s="276"/>
      <c r="Z43" s="276"/>
      <c r="AA43" s="276"/>
      <c r="AB43" s="197"/>
      <c r="AC43" s="454"/>
    </row>
    <row r="44" spans="1:29" s="7" customFormat="1" ht="33.75" customHeight="1">
      <c r="A44" s="455">
        <v>18</v>
      </c>
      <c r="B44" s="481"/>
      <c r="C44" s="13"/>
      <c r="D44" s="273" t="s">
        <v>177</v>
      </c>
      <c r="E44" s="216"/>
      <c r="F44" s="217"/>
      <c r="G44" s="217"/>
      <c r="H44" s="218"/>
      <c r="I44" s="218"/>
      <c r="J44" s="218"/>
      <c r="K44" s="218"/>
      <c r="L44" s="218"/>
      <c r="M44" s="218"/>
      <c r="N44" s="218"/>
      <c r="O44" s="218"/>
      <c r="P44" s="218"/>
      <c r="Q44" s="218"/>
      <c r="R44" s="218"/>
      <c r="S44" s="218"/>
      <c r="T44" s="218"/>
      <c r="U44" s="218"/>
      <c r="V44" s="218"/>
      <c r="W44" s="218"/>
      <c r="X44" s="218"/>
      <c r="Y44" s="218"/>
      <c r="Z44" s="218"/>
      <c r="AA44" s="218"/>
      <c r="AB44" s="196"/>
      <c r="AC44" s="453">
        <f t="shared" ref="AC44" si="13">SUM($E45:$G45)-SUM($I45:$AA45)+$AC42</f>
        <v>0</v>
      </c>
    </row>
    <row r="45" spans="1:29" s="7" customFormat="1" ht="33.75" customHeight="1" thickBot="1">
      <c r="A45" s="459"/>
      <c r="B45" s="482"/>
      <c r="C45" s="15"/>
      <c r="D45" s="274" t="s">
        <v>105</v>
      </c>
      <c r="E45" s="277"/>
      <c r="F45" s="278"/>
      <c r="G45" s="278"/>
      <c r="H45" s="276"/>
      <c r="I45" s="276"/>
      <c r="J45" s="276"/>
      <c r="K45" s="276"/>
      <c r="L45" s="276"/>
      <c r="M45" s="276"/>
      <c r="N45" s="276"/>
      <c r="O45" s="276"/>
      <c r="P45" s="276"/>
      <c r="Q45" s="276"/>
      <c r="R45" s="276"/>
      <c r="S45" s="276"/>
      <c r="T45" s="276"/>
      <c r="U45" s="276"/>
      <c r="V45" s="276"/>
      <c r="W45" s="276"/>
      <c r="X45" s="276"/>
      <c r="Y45" s="276"/>
      <c r="Z45" s="276"/>
      <c r="AA45" s="276"/>
      <c r="AB45" s="197"/>
      <c r="AC45" s="454"/>
    </row>
    <row r="46" spans="1:29" s="7" customFormat="1" ht="33.75" customHeight="1">
      <c r="A46" s="455">
        <v>19</v>
      </c>
      <c r="B46" s="481"/>
      <c r="C46" s="13"/>
      <c r="D46" s="273" t="s">
        <v>177</v>
      </c>
      <c r="E46" s="216"/>
      <c r="F46" s="217"/>
      <c r="G46" s="217"/>
      <c r="H46" s="218"/>
      <c r="I46" s="218"/>
      <c r="J46" s="218"/>
      <c r="K46" s="218"/>
      <c r="L46" s="218"/>
      <c r="M46" s="218"/>
      <c r="N46" s="218"/>
      <c r="O46" s="218"/>
      <c r="P46" s="218"/>
      <c r="Q46" s="218"/>
      <c r="R46" s="218"/>
      <c r="S46" s="218"/>
      <c r="T46" s="218"/>
      <c r="U46" s="218"/>
      <c r="V46" s="218"/>
      <c r="W46" s="218"/>
      <c r="X46" s="218"/>
      <c r="Y46" s="218"/>
      <c r="Z46" s="218"/>
      <c r="AA46" s="218"/>
      <c r="AB46" s="196"/>
      <c r="AC46" s="453">
        <f t="shared" ref="AC46" si="14">SUM($E47:$G47)-SUM($I47:$AA47)+$AC44</f>
        <v>0</v>
      </c>
    </row>
    <row r="47" spans="1:29" s="7" customFormat="1" ht="33.75" customHeight="1" thickBot="1">
      <c r="A47" s="459"/>
      <c r="B47" s="482"/>
      <c r="C47" s="15"/>
      <c r="D47" s="274" t="s">
        <v>105</v>
      </c>
      <c r="E47" s="277"/>
      <c r="F47" s="278"/>
      <c r="G47" s="278"/>
      <c r="H47" s="276"/>
      <c r="I47" s="276"/>
      <c r="J47" s="276"/>
      <c r="K47" s="276"/>
      <c r="L47" s="276"/>
      <c r="M47" s="276"/>
      <c r="N47" s="276"/>
      <c r="O47" s="276"/>
      <c r="P47" s="276"/>
      <c r="Q47" s="276"/>
      <c r="R47" s="276"/>
      <c r="S47" s="276"/>
      <c r="T47" s="276"/>
      <c r="U47" s="276"/>
      <c r="V47" s="276"/>
      <c r="W47" s="276"/>
      <c r="X47" s="276"/>
      <c r="Y47" s="276"/>
      <c r="Z47" s="276"/>
      <c r="AA47" s="276"/>
      <c r="AB47" s="197"/>
      <c r="AC47" s="454"/>
    </row>
    <row r="48" spans="1:29" s="7" customFormat="1" ht="33.75" customHeight="1">
      <c r="A48" s="455">
        <v>20</v>
      </c>
      <c r="B48" s="481"/>
      <c r="C48" s="13"/>
      <c r="D48" s="273" t="s">
        <v>177</v>
      </c>
      <c r="E48" s="216"/>
      <c r="F48" s="217"/>
      <c r="G48" s="217"/>
      <c r="H48" s="218"/>
      <c r="I48" s="218"/>
      <c r="J48" s="218"/>
      <c r="K48" s="218"/>
      <c r="L48" s="218"/>
      <c r="M48" s="218"/>
      <c r="N48" s="218"/>
      <c r="O48" s="218"/>
      <c r="P48" s="218"/>
      <c r="Q48" s="218"/>
      <c r="R48" s="218"/>
      <c r="S48" s="218"/>
      <c r="T48" s="218"/>
      <c r="U48" s="218"/>
      <c r="V48" s="218"/>
      <c r="W48" s="218"/>
      <c r="X48" s="218"/>
      <c r="Y48" s="218"/>
      <c r="Z48" s="218"/>
      <c r="AA48" s="218"/>
      <c r="AB48" s="196"/>
      <c r="AC48" s="453">
        <f t="shared" ref="AC48" si="15">SUM($E49:$G49)-SUM($I49:$AA49)+$AC46</f>
        <v>0</v>
      </c>
    </row>
    <row r="49" spans="1:29" s="7" customFormat="1" ht="33.75" customHeight="1" thickBot="1">
      <c r="A49" s="459"/>
      <c r="B49" s="482"/>
      <c r="C49" s="15"/>
      <c r="D49" s="274" t="s">
        <v>105</v>
      </c>
      <c r="E49" s="277"/>
      <c r="F49" s="278"/>
      <c r="G49" s="278"/>
      <c r="H49" s="276"/>
      <c r="I49" s="276"/>
      <c r="J49" s="276"/>
      <c r="K49" s="276"/>
      <c r="L49" s="276"/>
      <c r="M49" s="276"/>
      <c r="N49" s="276"/>
      <c r="O49" s="276"/>
      <c r="P49" s="276"/>
      <c r="Q49" s="276"/>
      <c r="R49" s="276"/>
      <c r="S49" s="276"/>
      <c r="T49" s="276"/>
      <c r="U49" s="276"/>
      <c r="V49" s="276"/>
      <c r="W49" s="276"/>
      <c r="X49" s="276"/>
      <c r="Y49" s="276"/>
      <c r="Z49" s="276"/>
      <c r="AA49" s="276"/>
      <c r="AB49" s="197"/>
      <c r="AC49" s="454"/>
    </row>
    <row r="50" spans="1:29" s="7" customFormat="1" ht="33.75" customHeight="1">
      <c r="A50" s="455">
        <v>21</v>
      </c>
      <c r="B50" s="481"/>
      <c r="C50" s="13"/>
      <c r="D50" s="273" t="s">
        <v>177</v>
      </c>
      <c r="E50" s="216"/>
      <c r="F50" s="217"/>
      <c r="G50" s="217"/>
      <c r="H50" s="218"/>
      <c r="I50" s="218"/>
      <c r="J50" s="218"/>
      <c r="K50" s="218"/>
      <c r="L50" s="218"/>
      <c r="M50" s="218"/>
      <c r="N50" s="218"/>
      <c r="O50" s="218"/>
      <c r="P50" s="218"/>
      <c r="Q50" s="218"/>
      <c r="R50" s="218"/>
      <c r="S50" s="218"/>
      <c r="T50" s="218"/>
      <c r="U50" s="218"/>
      <c r="V50" s="218"/>
      <c r="W50" s="218"/>
      <c r="X50" s="218"/>
      <c r="Y50" s="218"/>
      <c r="Z50" s="218"/>
      <c r="AA50" s="218"/>
      <c r="AB50" s="196"/>
      <c r="AC50" s="453">
        <f t="shared" ref="AC50" si="16">SUM($E51:$G51)-SUM($I51:$AA51)+$AC48</f>
        <v>0</v>
      </c>
    </row>
    <row r="51" spans="1:29" s="7" customFormat="1" ht="33.75" customHeight="1" thickBot="1">
      <c r="A51" s="459"/>
      <c r="B51" s="482"/>
      <c r="C51" s="15"/>
      <c r="D51" s="274" t="s">
        <v>105</v>
      </c>
      <c r="E51" s="277"/>
      <c r="F51" s="278"/>
      <c r="G51" s="278"/>
      <c r="H51" s="276"/>
      <c r="I51" s="276"/>
      <c r="J51" s="276"/>
      <c r="K51" s="276"/>
      <c r="L51" s="276"/>
      <c r="M51" s="276"/>
      <c r="N51" s="276"/>
      <c r="O51" s="276"/>
      <c r="P51" s="276"/>
      <c r="Q51" s="276"/>
      <c r="R51" s="276"/>
      <c r="S51" s="276"/>
      <c r="T51" s="276"/>
      <c r="U51" s="276"/>
      <c r="V51" s="276"/>
      <c r="W51" s="276"/>
      <c r="X51" s="276"/>
      <c r="Y51" s="276"/>
      <c r="Z51" s="276"/>
      <c r="AA51" s="276"/>
      <c r="AB51" s="197"/>
      <c r="AC51" s="454"/>
    </row>
    <row r="52" spans="1:29" s="7" customFormat="1" ht="33.75" customHeight="1">
      <c r="A52" s="455">
        <v>22</v>
      </c>
      <c r="B52" s="481"/>
      <c r="C52" s="13"/>
      <c r="D52" s="273" t="s">
        <v>177</v>
      </c>
      <c r="E52" s="216"/>
      <c r="F52" s="217"/>
      <c r="G52" s="217"/>
      <c r="H52" s="218"/>
      <c r="I52" s="218"/>
      <c r="J52" s="218"/>
      <c r="K52" s="218"/>
      <c r="L52" s="218"/>
      <c r="M52" s="218"/>
      <c r="N52" s="218"/>
      <c r="O52" s="218"/>
      <c r="P52" s="218"/>
      <c r="Q52" s="218"/>
      <c r="R52" s="218"/>
      <c r="S52" s="218"/>
      <c r="T52" s="218"/>
      <c r="U52" s="218"/>
      <c r="V52" s="218"/>
      <c r="W52" s="218"/>
      <c r="X52" s="218"/>
      <c r="Y52" s="218"/>
      <c r="Z52" s="218"/>
      <c r="AA52" s="218"/>
      <c r="AB52" s="196"/>
      <c r="AC52" s="453">
        <f t="shared" ref="AC52" si="17">SUM($E53:$G53)-SUM($I53:$AA53)+$AC50</f>
        <v>0</v>
      </c>
    </row>
    <row r="53" spans="1:29" s="7" customFormat="1" ht="33.75" customHeight="1" thickBot="1">
      <c r="A53" s="459"/>
      <c r="B53" s="482"/>
      <c r="C53" s="15"/>
      <c r="D53" s="274" t="s">
        <v>105</v>
      </c>
      <c r="E53" s="277"/>
      <c r="F53" s="278"/>
      <c r="G53" s="278"/>
      <c r="H53" s="276"/>
      <c r="I53" s="276"/>
      <c r="J53" s="276"/>
      <c r="K53" s="276"/>
      <c r="L53" s="276"/>
      <c r="M53" s="276"/>
      <c r="N53" s="276"/>
      <c r="O53" s="276"/>
      <c r="P53" s="276"/>
      <c r="Q53" s="276"/>
      <c r="R53" s="276"/>
      <c r="S53" s="276"/>
      <c r="T53" s="276"/>
      <c r="U53" s="276"/>
      <c r="V53" s="276"/>
      <c r="W53" s="276"/>
      <c r="X53" s="276"/>
      <c r="Y53" s="276"/>
      <c r="Z53" s="276"/>
      <c r="AA53" s="276"/>
      <c r="AB53" s="197"/>
      <c r="AC53" s="454"/>
    </row>
    <row r="54" spans="1:29" s="7" customFormat="1" ht="33.75" customHeight="1">
      <c r="A54" s="455">
        <v>23</v>
      </c>
      <c r="B54" s="481"/>
      <c r="C54" s="13"/>
      <c r="D54" s="273" t="s">
        <v>177</v>
      </c>
      <c r="E54" s="216"/>
      <c r="F54" s="217"/>
      <c r="G54" s="217"/>
      <c r="H54" s="218"/>
      <c r="I54" s="218"/>
      <c r="J54" s="218"/>
      <c r="K54" s="218"/>
      <c r="L54" s="218"/>
      <c r="M54" s="218"/>
      <c r="N54" s="218"/>
      <c r="O54" s="218"/>
      <c r="P54" s="218"/>
      <c r="Q54" s="218"/>
      <c r="R54" s="218"/>
      <c r="S54" s="218"/>
      <c r="T54" s="218"/>
      <c r="U54" s="218"/>
      <c r="V54" s="218"/>
      <c r="W54" s="218"/>
      <c r="X54" s="218"/>
      <c r="Y54" s="218"/>
      <c r="Z54" s="218"/>
      <c r="AA54" s="218"/>
      <c r="AB54" s="196"/>
      <c r="AC54" s="453">
        <f t="shared" ref="AC54" si="18">SUM($E55:$G55)-SUM($I55:$AA55)+$AC52</f>
        <v>0</v>
      </c>
    </row>
    <row r="55" spans="1:29" s="7" customFormat="1" ht="33.75" customHeight="1" thickBot="1">
      <c r="A55" s="459"/>
      <c r="B55" s="482"/>
      <c r="C55" s="15"/>
      <c r="D55" s="274" t="s">
        <v>105</v>
      </c>
      <c r="E55" s="277"/>
      <c r="F55" s="278"/>
      <c r="G55" s="278"/>
      <c r="H55" s="276"/>
      <c r="I55" s="276"/>
      <c r="J55" s="276"/>
      <c r="K55" s="276"/>
      <c r="L55" s="276"/>
      <c r="M55" s="276"/>
      <c r="N55" s="276"/>
      <c r="O55" s="276"/>
      <c r="P55" s="276"/>
      <c r="Q55" s="276"/>
      <c r="R55" s="276"/>
      <c r="S55" s="276"/>
      <c r="T55" s="276"/>
      <c r="U55" s="276"/>
      <c r="V55" s="276"/>
      <c r="W55" s="276"/>
      <c r="X55" s="276"/>
      <c r="Y55" s="276"/>
      <c r="Z55" s="276"/>
      <c r="AA55" s="276"/>
      <c r="AB55" s="197"/>
      <c r="AC55" s="454"/>
    </row>
    <row r="56" spans="1:29" s="7" customFormat="1" ht="33.75" customHeight="1">
      <c r="A56" s="455">
        <v>24</v>
      </c>
      <c r="B56" s="481"/>
      <c r="C56" s="13"/>
      <c r="D56" s="273" t="s">
        <v>177</v>
      </c>
      <c r="E56" s="216"/>
      <c r="F56" s="217"/>
      <c r="G56" s="217"/>
      <c r="H56" s="218"/>
      <c r="I56" s="218"/>
      <c r="J56" s="218"/>
      <c r="K56" s="218"/>
      <c r="L56" s="218"/>
      <c r="M56" s="218"/>
      <c r="N56" s="218"/>
      <c r="O56" s="218"/>
      <c r="P56" s="218"/>
      <c r="Q56" s="218"/>
      <c r="R56" s="218"/>
      <c r="S56" s="218"/>
      <c r="T56" s="218"/>
      <c r="U56" s="218"/>
      <c r="V56" s="218"/>
      <c r="W56" s="218"/>
      <c r="X56" s="218"/>
      <c r="Y56" s="218"/>
      <c r="Z56" s="218"/>
      <c r="AA56" s="218"/>
      <c r="AB56" s="196"/>
      <c r="AC56" s="453">
        <f t="shared" ref="AC56" si="19">SUM($E57:$G57)-SUM($I57:$AA57)+$AC54</f>
        <v>0</v>
      </c>
    </row>
    <row r="57" spans="1:29" s="7" customFormat="1" ht="33.75" customHeight="1" thickBot="1">
      <c r="A57" s="459"/>
      <c r="B57" s="482"/>
      <c r="C57" s="15"/>
      <c r="D57" s="274" t="s">
        <v>105</v>
      </c>
      <c r="E57" s="277"/>
      <c r="F57" s="278"/>
      <c r="G57" s="278"/>
      <c r="H57" s="276"/>
      <c r="I57" s="276"/>
      <c r="J57" s="276"/>
      <c r="K57" s="276"/>
      <c r="L57" s="276"/>
      <c r="M57" s="276"/>
      <c r="N57" s="276"/>
      <c r="O57" s="276"/>
      <c r="P57" s="276"/>
      <c r="Q57" s="276"/>
      <c r="R57" s="276"/>
      <c r="S57" s="276"/>
      <c r="T57" s="276"/>
      <c r="U57" s="276"/>
      <c r="V57" s="276"/>
      <c r="W57" s="276"/>
      <c r="X57" s="276"/>
      <c r="Y57" s="276"/>
      <c r="Z57" s="276"/>
      <c r="AA57" s="276"/>
      <c r="AB57" s="197"/>
      <c r="AC57" s="454"/>
    </row>
    <row r="58" spans="1:29" s="7" customFormat="1" ht="33.75" customHeight="1">
      <c r="A58" s="455">
        <v>25</v>
      </c>
      <c r="B58" s="481"/>
      <c r="C58" s="13"/>
      <c r="D58" s="273" t="s">
        <v>177</v>
      </c>
      <c r="E58" s="216"/>
      <c r="F58" s="217"/>
      <c r="G58" s="217"/>
      <c r="H58" s="218"/>
      <c r="I58" s="218"/>
      <c r="J58" s="218"/>
      <c r="K58" s="218"/>
      <c r="L58" s="218"/>
      <c r="M58" s="218"/>
      <c r="N58" s="218"/>
      <c r="O58" s="218"/>
      <c r="P58" s="218"/>
      <c r="Q58" s="218"/>
      <c r="R58" s="218"/>
      <c r="S58" s="218"/>
      <c r="T58" s="218"/>
      <c r="U58" s="218"/>
      <c r="V58" s="218"/>
      <c r="W58" s="218"/>
      <c r="X58" s="218"/>
      <c r="Y58" s="218"/>
      <c r="Z58" s="218"/>
      <c r="AA58" s="218"/>
      <c r="AB58" s="196"/>
      <c r="AC58" s="453">
        <f t="shared" ref="AC58" si="20">SUM($E59:$G59)-SUM($I59:$AA59)+$AC56</f>
        <v>0</v>
      </c>
    </row>
    <row r="59" spans="1:29" s="7" customFormat="1" ht="33.75" customHeight="1" thickBot="1">
      <c r="A59" s="459"/>
      <c r="B59" s="482"/>
      <c r="C59" s="15"/>
      <c r="D59" s="274" t="s">
        <v>105</v>
      </c>
      <c r="E59" s="277"/>
      <c r="F59" s="278"/>
      <c r="G59" s="278"/>
      <c r="H59" s="276"/>
      <c r="I59" s="276"/>
      <c r="J59" s="276"/>
      <c r="K59" s="276"/>
      <c r="L59" s="276"/>
      <c r="M59" s="276"/>
      <c r="N59" s="276"/>
      <c r="O59" s="276"/>
      <c r="P59" s="276"/>
      <c r="Q59" s="276"/>
      <c r="R59" s="276"/>
      <c r="S59" s="276"/>
      <c r="T59" s="276"/>
      <c r="U59" s="276"/>
      <c r="V59" s="276"/>
      <c r="W59" s="276"/>
      <c r="X59" s="276"/>
      <c r="Y59" s="276"/>
      <c r="Z59" s="276"/>
      <c r="AA59" s="276"/>
      <c r="AB59" s="197"/>
      <c r="AC59" s="454"/>
    </row>
    <row r="60" spans="1:29" s="7" customFormat="1" ht="33.75" customHeight="1">
      <c r="A60" s="455">
        <v>26</v>
      </c>
      <c r="B60" s="481"/>
      <c r="C60" s="13"/>
      <c r="D60" s="273" t="s">
        <v>177</v>
      </c>
      <c r="E60" s="216"/>
      <c r="F60" s="217"/>
      <c r="G60" s="217"/>
      <c r="H60" s="218"/>
      <c r="I60" s="218"/>
      <c r="J60" s="218"/>
      <c r="K60" s="218"/>
      <c r="L60" s="218"/>
      <c r="M60" s="218"/>
      <c r="N60" s="218"/>
      <c r="O60" s="218"/>
      <c r="P60" s="218"/>
      <c r="Q60" s="218"/>
      <c r="R60" s="218"/>
      <c r="S60" s="218"/>
      <c r="T60" s="218"/>
      <c r="U60" s="218"/>
      <c r="V60" s="218"/>
      <c r="W60" s="218"/>
      <c r="X60" s="218"/>
      <c r="Y60" s="218"/>
      <c r="Z60" s="218"/>
      <c r="AA60" s="218"/>
      <c r="AB60" s="196"/>
      <c r="AC60" s="453">
        <f t="shared" ref="AC60" si="21">SUM($E61:$G61)-SUM($I61:$AA61)+$AC58</f>
        <v>0</v>
      </c>
    </row>
    <row r="61" spans="1:29" s="7" customFormat="1" ht="33.75" customHeight="1" thickBot="1">
      <c r="A61" s="459"/>
      <c r="B61" s="482"/>
      <c r="C61" s="15"/>
      <c r="D61" s="274" t="s">
        <v>105</v>
      </c>
      <c r="E61" s="277"/>
      <c r="F61" s="278"/>
      <c r="G61" s="278"/>
      <c r="H61" s="220"/>
      <c r="I61" s="276"/>
      <c r="J61" s="276"/>
      <c r="K61" s="276"/>
      <c r="L61" s="276"/>
      <c r="M61" s="276"/>
      <c r="N61" s="276"/>
      <c r="O61" s="276"/>
      <c r="P61" s="276"/>
      <c r="Q61" s="276"/>
      <c r="R61" s="276"/>
      <c r="S61" s="276"/>
      <c r="T61" s="276"/>
      <c r="U61" s="276"/>
      <c r="V61" s="276"/>
      <c r="W61" s="276"/>
      <c r="X61" s="276"/>
      <c r="Y61" s="276"/>
      <c r="Z61" s="276"/>
      <c r="AA61" s="276"/>
      <c r="AB61" s="197"/>
      <c r="AC61" s="454"/>
    </row>
    <row r="62" spans="1:29" s="7" customFormat="1" ht="33.75" customHeight="1">
      <c r="A62" s="455">
        <v>27</v>
      </c>
      <c r="B62" s="481"/>
      <c r="C62" s="13"/>
      <c r="D62" s="273" t="s">
        <v>177</v>
      </c>
      <c r="E62" s="216"/>
      <c r="F62" s="217"/>
      <c r="G62" s="217"/>
      <c r="H62" s="218"/>
      <c r="I62" s="218"/>
      <c r="J62" s="218"/>
      <c r="K62" s="218"/>
      <c r="L62" s="218"/>
      <c r="M62" s="218"/>
      <c r="N62" s="218"/>
      <c r="O62" s="218"/>
      <c r="P62" s="218"/>
      <c r="Q62" s="218"/>
      <c r="R62" s="218"/>
      <c r="S62" s="218"/>
      <c r="T62" s="218"/>
      <c r="U62" s="218"/>
      <c r="V62" s="218"/>
      <c r="W62" s="218"/>
      <c r="X62" s="218"/>
      <c r="Y62" s="218"/>
      <c r="Z62" s="218"/>
      <c r="AA62" s="218"/>
      <c r="AB62" s="196"/>
      <c r="AC62" s="453">
        <f t="shared" ref="AC62" si="22">SUM($E63:$G63)-SUM($I63:$AA63)+$AC60</f>
        <v>0</v>
      </c>
    </row>
    <row r="63" spans="1:29" s="7" customFormat="1" ht="33.75" customHeight="1" thickBot="1">
      <c r="A63" s="459"/>
      <c r="B63" s="482"/>
      <c r="C63" s="15"/>
      <c r="D63" s="274" t="s">
        <v>105</v>
      </c>
      <c r="E63" s="277"/>
      <c r="F63" s="278"/>
      <c r="G63" s="278"/>
      <c r="H63" s="276"/>
      <c r="I63" s="276"/>
      <c r="J63" s="276"/>
      <c r="K63" s="276"/>
      <c r="L63" s="276"/>
      <c r="M63" s="276"/>
      <c r="N63" s="276"/>
      <c r="O63" s="276"/>
      <c r="P63" s="276"/>
      <c r="Q63" s="276"/>
      <c r="R63" s="276"/>
      <c r="S63" s="276"/>
      <c r="T63" s="276"/>
      <c r="U63" s="276"/>
      <c r="V63" s="276"/>
      <c r="W63" s="276"/>
      <c r="X63" s="276"/>
      <c r="Y63" s="276"/>
      <c r="Z63" s="276"/>
      <c r="AA63" s="276"/>
      <c r="AB63" s="197"/>
      <c r="AC63" s="454"/>
    </row>
    <row r="64" spans="1:29" s="7" customFormat="1" ht="33.75" customHeight="1">
      <c r="A64" s="455">
        <v>28</v>
      </c>
      <c r="B64" s="481"/>
      <c r="C64" s="13"/>
      <c r="D64" s="273" t="s">
        <v>177</v>
      </c>
      <c r="E64" s="216"/>
      <c r="F64" s="217"/>
      <c r="G64" s="217"/>
      <c r="H64" s="218"/>
      <c r="I64" s="218"/>
      <c r="J64" s="218"/>
      <c r="K64" s="218"/>
      <c r="L64" s="218"/>
      <c r="M64" s="218"/>
      <c r="N64" s="218"/>
      <c r="O64" s="218"/>
      <c r="P64" s="218"/>
      <c r="Q64" s="218"/>
      <c r="R64" s="218"/>
      <c r="S64" s="218"/>
      <c r="T64" s="218"/>
      <c r="U64" s="218"/>
      <c r="V64" s="218"/>
      <c r="W64" s="218"/>
      <c r="X64" s="218"/>
      <c r="Y64" s="218"/>
      <c r="Z64" s="218"/>
      <c r="AA64" s="218"/>
      <c r="AB64" s="196"/>
      <c r="AC64" s="453">
        <f t="shared" ref="AC64" si="23">SUM($E65:$G65)-SUM($I65:$AA65)+$AC62</f>
        <v>0</v>
      </c>
    </row>
    <row r="65" spans="1:29" s="7" customFormat="1" ht="33.75" customHeight="1" thickBot="1">
      <c r="A65" s="459"/>
      <c r="B65" s="482"/>
      <c r="C65" s="15"/>
      <c r="D65" s="274" t="s">
        <v>105</v>
      </c>
      <c r="E65" s="277"/>
      <c r="F65" s="278"/>
      <c r="G65" s="278"/>
      <c r="H65" s="276"/>
      <c r="I65" s="276"/>
      <c r="J65" s="276"/>
      <c r="K65" s="276"/>
      <c r="L65" s="276"/>
      <c r="M65" s="276"/>
      <c r="N65" s="276"/>
      <c r="O65" s="276"/>
      <c r="P65" s="276"/>
      <c r="Q65" s="276"/>
      <c r="R65" s="276"/>
      <c r="S65" s="276"/>
      <c r="T65" s="276"/>
      <c r="U65" s="276"/>
      <c r="V65" s="276"/>
      <c r="W65" s="276"/>
      <c r="X65" s="276"/>
      <c r="Y65" s="276"/>
      <c r="Z65" s="276"/>
      <c r="AA65" s="276"/>
      <c r="AB65" s="197"/>
      <c r="AC65" s="454"/>
    </row>
    <row r="66" spans="1:29" s="7" customFormat="1" ht="33.75" customHeight="1">
      <c r="A66" s="455">
        <v>29</v>
      </c>
      <c r="B66" s="481"/>
      <c r="C66" s="13"/>
      <c r="D66" s="273" t="s">
        <v>177</v>
      </c>
      <c r="E66" s="216"/>
      <c r="F66" s="217"/>
      <c r="G66" s="217"/>
      <c r="H66" s="218"/>
      <c r="I66" s="218"/>
      <c r="J66" s="218"/>
      <c r="K66" s="218"/>
      <c r="L66" s="218"/>
      <c r="M66" s="218"/>
      <c r="N66" s="218"/>
      <c r="O66" s="218"/>
      <c r="P66" s="218"/>
      <c r="Q66" s="218"/>
      <c r="R66" s="218"/>
      <c r="S66" s="218"/>
      <c r="T66" s="218"/>
      <c r="U66" s="218"/>
      <c r="V66" s="218"/>
      <c r="W66" s="218"/>
      <c r="X66" s="218"/>
      <c r="Y66" s="218"/>
      <c r="Z66" s="218"/>
      <c r="AA66" s="218"/>
      <c r="AB66" s="196"/>
      <c r="AC66" s="453">
        <f t="shared" ref="AC66" si="24">SUM($E67:$G67)-SUM($I67:$AA67)+$AC64</f>
        <v>0</v>
      </c>
    </row>
    <row r="67" spans="1:29" s="7" customFormat="1" ht="33.75" customHeight="1" thickBot="1">
      <c r="A67" s="459"/>
      <c r="B67" s="482"/>
      <c r="C67" s="15"/>
      <c r="D67" s="274" t="s">
        <v>105</v>
      </c>
      <c r="E67" s="277"/>
      <c r="F67" s="278"/>
      <c r="G67" s="278"/>
      <c r="H67" s="276"/>
      <c r="I67" s="276"/>
      <c r="J67" s="276"/>
      <c r="K67" s="276"/>
      <c r="L67" s="276"/>
      <c r="M67" s="276"/>
      <c r="N67" s="276"/>
      <c r="O67" s="276"/>
      <c r="P67" s="276"/>
      <c r="Q67" s="276"/>
      <c r="R67" s="276"/>
      <c r="S67" s="276"/>
      <c r="T67" s="276"/>
      <c r="U67" s="276"/>
      <c r="V67" s="276"/>
      <c r="W67" s="276"/>
      <c r="X67" s="276"/>
      <c r="Y67" s="276"/>
      <c r="Z67" s="276"/>
      <c r="AA67" s="276"/>
      <c r="AB67" s="197"/>
      <c r="AC67" s="454"/>
    </row>
    <row r="68" spans="1:29" s="7" customFormat="1" ht="33.75" customHeight="1">
      <c r="A68" s="455">
        <v>30</v>
      </c>
      <c r="B68" s="481"/>
      <c r="C68" s="13"/>
      <c r="D68" s="273" t="s">
        <v>177</v>
      </c>
      <c r="E68" s="216"/>
      <c r="F68" s="217"/>
      <c r="G68" s="217"/>
      <c r="H68" s="218"/>
      <c r="I68" s="218"/>
      <c r="J68" s="218"/>
      <c r="K68" s="218"/>
      <c r="L68" s="218"/>
      <c r="M68" s="218"/>
      <c r="N68" s="218"/>
      <c r="O68" s="218"/>
      <c r="P68" s="218"/>
      <c r="Q68" s="218"/>
      <c r="R68" s="218"/>
      <c r="S68" s="218"/>
      <c r="T68" s="218"/>
      <c r="U68" s="218"/>
      <c r="V68" s="218"/>
      <c r="W68" s="218"/>
      <c r="X68" s="218"/>
      <c r="Y68" s="218"/>
      <c r="Z68" s="218"/>
      <c r="AA68" s="218"/>
      <c r="AB68" s="196"/>
      <c r="AC68" s="453">
        <f t="shared" ref="AC68" si="25">SUM($E69:$G69)-SUM($I69:$AA69)+$AC66</f>
        <v>0</v>
      </c>
    </row>
    <row r="69" spans="1:29" s="7" customFormat="1" ht="33.75" customHeight="1" thickBot="1">
      <c r="A69" s="459"/>
      <c r="B69" s="482"/>
      <c r="C69" s="15"/>
      <c r="D69" s="274" t="s">
        <v>105</v>
      </c>
      <c r="E69" s="277"/>
      <c r="F69" s="278"/>
      <c r="G69" s="278"/>
      <c r="H69" s="276"/>
      <c r="I69" s="276"/>
      <c r="J69" s="276"/>
      <c r="K69" s="276"/>
      <c r="L69" s="276"/>
      <c r="M69" s="276"/>
      <c r="N69" s="276"/>
      <c r="O69" s="276"/>
      <c r="P69" s="276"/>
      <c r="Q69" s="276"/>
      <c r="R69" s="276"/>
      <c r="S69" s="276"/>
      <c r="T69" s="276"/>
      <c r="U69" s="276"/>
      <c r="V69" s="276"/>
      <c r="W69" s="276"/>
      <c r="X69" s="276"/>
      <c r="Y69" s="276"/>
      <c r="Z69" s="276"/>
      <c r="AA69" s="276"/>
      <c r="AB69" s="197"/>
      <c r="AC69" s="454"/>
    </row>
    <row r="70" spans="1:29" s="7" customFormat="1" ht="33.75" customHeight="1">
      <c r="A70" s="455">
        <v>31</v>
      </c>
      <c r="B70" s="481"/>
      <c r="C70" s="13"/>
      <c r="D70" s="273" t="s">
        <v>177</v>
      </c>
      <c r="E70" s="216"/>
      <c r="F70" s="217"/>
      <c r="G70" s="217"/>
      <c r="H70" s="218"/>
      <c r="I70" s="218"/>
      <c r="J70" s="218"/>
      <c r="K70" s="218"/>
      <c r="L70" s="218"/>
      <c r="M70" s="218"/>
      <c r="N70" s="218"/>
      <c r="O70" s="218"/>
      <c r="P70" s="218"/>
      <c r="Q70" s="218"/>
      <c r="R70" s="218"/>
      <c r="S70" s="218"/>
      <c r="T70" s="218"/>
      <c r="U70" s="218"/>
      <c r="V70" s="218"/>
      <c r="W70" s="218"/>
      <c r="X70" s="218"/>
      <c r="Y70" s="218"/>
      <c r="Z70" s="218"/>
      <c r="AA70" s="218"/>
      <c r="AB70" s="196"/>
      <c r="AC70" s="453">
        <f t="shared" ref="AC70" si="26">SUM($E71:$G71)-SUM($I71:$AA71)+$AC68</f>
        <v>0</v>
      </c>
    </row>
    <row r="71" spans="1:29" s="7" customFormat="1" ht="33.75" customHeight="1" thickBot="1">
      <c r="A71" s="459"/>
      <c r="B71" s="482"/>
      <c r="C71" s="15"/>
      <c r="D71" s="274" t="s">
        <v>105</v>
      </c>
      <c r="E71" s="277"/>
      <c r="F71" s="278"/>
      <c r="G71" s="278"/>
      <c r="H71" s="276"/>
      <c r="I71" s="276"/>
      <c r="J71" s="276"/>
      <c r="K71" s="276"/>
      <c r="L71" s="276"/>
      <c r="M71" s="276"/>
      <c r="N71" s="276"/>
      <c r="O71" s="276"/>
      <c r="P71" s="276"/>
      <c r="Q71" s="276"/>
      <c r="R71" s="276"/>
      <c r="S71" s="276"/>
      <c r="T71" s="276"/>
      <c r="U71" s="276"/>
      <c r="V71" s="276"/>
      <c r="W71" s="276"/>
      <c r="X71" s="276"/>
      <c r="Y71" s="276"/>
      <c r="Z71" s="276"/>
      <c r="AA71" s="276"/>
      <c r="AB71" s="197"/>
      <c r="AC71" s="454"/>
    </row>
    <row r="72" spans="1:29" ht="46.5" customHeight="1">
      <c r="A72" s="469" t="s">
        <v>331</v>
      </c>
      <c r="B72" s="470"/>
      <c r="C72" s="470"/>
      <c r="D72" s="471"/>
      <c r="E72" s="192">
        <f>SUM(E$10:E$71)</f>
        <v>0</v>
      </c>
      <c r="F72" s="192">
        <f t="shared" ref="F72" si="27">SUM(F$10:F$71)</f>
        <v>0</v>
      </c>
      <c r="G72" s="192">
        <f>SUM(G$10:G$71)</f>
        <v>0</v>
      </c>
      <c r="H72" s="192">
        <f>SUMIF($D$10:$D$41,$D72,H$10:H$41)</f>
        <v>0</v>
      </c>
      <c r="I72" s="192">
        <f>SUM(I$10:I$71)</f>
        <v>0</v>
      </c>
      <c r="J72" s="192">
        <f t="shared" ref="J72:AA72" si="28">SUM(J$10:J$71)</f>
        <v>0</v>
      </c>
      <c r="K72" s="192">
        <f t="shared" si="28"/>
        <v>0</v>
      </c>
      <c r="L72" s="192">
        <f t="shared" si="28"/>
        <v>0</v>
      </c>
      <c r="M72" s="192">
        <f t="shared" si="28"/>
        <v>0</v>
      </c>
      <c r="N72" s="192">
        <f t="shared" si="28"/>
        <v>0</v>
      </c>
      <c r="O72" s="192">
        <f t="shared" si="28"/>
        <v>0</v>
      </c>
      <c r="P72" s="192">
        <f t="shared" si="28"/>
        <v>0</v>
      </c>
      <c r="Q72" s="192">
        <f t="shared" si="28"/>
        <v>0</v>
      </c>
      <c r="R72" s="192">
        <f t="shared" si="28"/>
        <v>0</v>
      </c>
      <c r="S72" s="192">
        <f t="shared" si="28"/>
        <v>0</v>
      </c>
      <c r="T72" s="192">
        <f t="shared" si="28"/>
        <v>0</v>
      </c>
      <c r="U72" s="192">
        <f t="shared" si="28"/>
        <v>0</v>
      </c>
      <c r="V72" s="192">
        <f t="shared" si="28"/>
        <v>0</v>
      </c>
      <c r="W72" s="192">
        <f t="shared" si="28"/>
        <v>0</v>
      </c>
      <c r="X72" s="192">
        <f t="shared" si="28"/>
        <v>0</v>
      </c>
      <c r="Y72" s="192">
        <f t="shared" si="28"/>
        <v>0</v>
      </c>
      <c r="Z72" s="192">
        <f t="shared" si="28"/>
        <v>0</v>
      </c>
      <c r="AA72" s="192">
        <f t="shared" si="28"/>
        <v>0</v>
      </c>
      <c r="AB72" s="197">
        <f>SUMIF($D$10:$D$41,$D72,AB$10:AB$41)</f>
        <v>0</v>
      </c>
      <c r="AC72" s="193"/>
    </row>
    <row r="73" spans="1:29" ht="33.75" customHeight="1">
      <c r="B73" s="43" t="s">
        <v>330</v>
      </c>
    </row>
  </sheetData>
  <sheetProtection sheet="1" objects="1" scenarios="1" selectLockedCells="1"/>
  <mergeCells count="136">
    <mergeCell ref="E5:G5"/>
    <mergeCell ref="I5:AA5"/>
    <mergeCell ref="E6:E7"/>
    <mergeCell ref="F6:F9"/>
    <mergeCell ref="G6:G7"/>
    <mergeCell ref="H6:H9"/>
    <mergeCell ref="A2:A9"/>
    <mergeCell ref="B2:B4"/>
    <mergeCell ref="C2:C4"/>
    <mergeCell ref="D2:G4"/>
    <mergeCell ref="H2:H4"/>
    <mergeCell ref="I2:AA4"/>
    <mergeCell ref="B6:B9"/>
    <mergeCell ref="C6:C9"/>
    <mergeCell ref="D6:D9"/>
    <mergeCell ref="J6:J9"/>
    <mergeCell ref="V6:V9"/>
    <mergeCell ref="K6:K9"/>
    <mergeCell ref="L6:L9"/>
    <mergeCell ref="M6:M9"/>
    <mergeCell ref="N6:N9"/>
    <mergeCell ref="O6:O9"/>
    <mergeCell ref="P6:P9"/>
    <mergeCell ref="R6:R9"/>
    <mergeCell ref="AB2:AB3"/>
    <mergeCell ref="AC2:AC3"/>
    <mergeCell ref="AB4:AB6"/>
    <mergeCell ref="AC4:AC6"/>
    <mergeCell ref="A12:A13"/>
    <mergeCell ref="B12:B13"/>
    <mergeCell ref="AC12:AC13"/>
    <mergeCell ref="A14:A15"/>
    <mergeCell ref="B14:B15"/>
    <mergeCell ref="AC14:AC15"/>
    <mergeCell ref="AB7:AB9"/>
    <mergeCell ref="AC7:AC9"/>
    <mergeCell ref="E8:E9"/>
    <mergeCell ref="G8:G9"/>
    <mergeCell ref="A10:A11"/>
    <mergeCell ref="B10:B11"/>
    <mergeCell ref="AC10:AC11"/>
    <mergeCell ref="W6:W9"/>
    <mergeCell ref="X6:X9"/>
    <mergeCell ref="Y6:Y9"/>
    <mergeCell ref="Z6:Z9"/>
    <mergeCell ref="I7:I8"/>
    <mergeCell ref="AA7:AA8"/>
    <mergeCell ref="Q6:Q9"/>
    <mergeCell ref="S6:S9"/>
    <mergeCell ref="T6:T9"/>
    <mergeCell ref="U6:U9"/>
    <mergeCell ref="A20:A21"/>
    <mergeCell ref="B20:B21"/>
    <mergeCell ref="AC20:AC21"/>
    <mergeCell ref="A22:A23"/>
    <mergeCell ref="B22:B23"/>
    <mergeCell ref="AC22:AC23"/>
    <mergeCell ref="A16:A17"/>
    <mergeCell ref="B16:B17"/>
    <mergeCell ref="AC16:AC17"/>
    <mergeCell ref="A18:A19"/>
    <mergeCell ref="B18:B19"/>
    <mergeCell ref="AC18:AC19"/>
    <mergeCell ref="A28:A29"/>
    <mergeCell ref="B28:B29"/>
    <mergeCell ref="AC28:AC29"/>
    <mergeCell ref="A30:A31"/>
    <mergeCell ref="B30:B31"/>
    <mergeCell ref="AC30:AC31"/>
    <mergeCell ref="A24:A25"/>
    <mergeCell ref="B24:B25"/>
    <mergeCell ref="AC24:AC25"/>
    <mergeCell ref="A26:A27"/>
    <mergeCell ref="B26:B27"/>
    <mergeCell ref="AC26:AC27"/>
    <mergeCell ref="A36:A37"/>
    <mergeCell ref="B36:B37"/>
    <mergeCell ref="AC36:AC37"/>
    <mergeCell ref="A38:A39"/>
    <mergeCell ref="B38:B39"/>
    <mergeCell ref="AC38:AC39"/>
    <mergeCell ref="A32:A33"/>
    <mergeCell ref="B32:B33"/>
    <mergeCell ref="AC32:AC33"/>
    <mergeCell ref="A34:A35"/>
    <mergeCell ref="B34:B35"/>
    <mergeCell ref="AC34:AC35"/>
    <mergeCell ref="A44:A45"/>
    <mergeCell ref="B44:B45"/>
    <mergeCell ref="AC44:AC45"/>
    <mergeCell ref="A46:A47"/>
    <mergeCell ref="B46:B47"/>
    <mergeCell ref="AC46:AC47"/>
    <mergeCell ref="A40:A41"/>
    <mergeCell ref="B40:B41"/>
    <mergeCell ref="AC40:AC41"/>
    <mergeCell ref="A42:A43"/>
    <mergeCell ref="B42:B43"/>
    <mergeCell ref="AC42:AC43"/>
    <mergeCell ref="A52:A53"/>
    <mergeCell ref="B52:B53"/>
    <mergeCell ref="AC52:AC53"/>
    <mergeCell ref="A54:A55"/>
    <mergeCell ref="B54:B55"/>
    <mergeCell ref="AC54:AC55"/>
    <mergeCell ref="A48:A49"/>
    <mergeCell ref="B48:B49"/>
    <mergeCell ref="AC48:AC49"/>
    <mergeCell ref="A50:A51"/>
    <mergeCell ref="B50:B51"/>
    <mergeCell ref="AC50:AC51"/>
    <mergeCell ref="A60:A61"/>
    <mergeCell ref="B60:B61"/>
    <mergeCell ref="AC60:AC61"/>
    <mergeCell ref="A62:A63"/>
    <mergeCell ref="B62:B63"/>
    <mergeCell ref="AC62:AC63"/>
    <mergeCell ref="A56:A57"/>
    <mergeCell ref="B56:B57"/>
    <mergeCell ref="AC56:AC57"/>
    <mergeCell ref="A58:A59"/>
    <mergeCell ref="B58:B59"/>
    <mergeCell ref="AC58:AC59"/>
    <mergeCell ref="A68:A69"/>
    <mergeCell ref="B68:B69"/>
    <mergeCell ref="AC68:AC69"/>
    <mergeCell ref="A70:A71"/>
    <mergeCell ref="B70:B71"/>
    <mergeCell ref="A72:D72"/>
    <mergeCell ref="A64:A65"/>
    <mergeCell ref="B64:B65"/>
    <mergeCell ref="AC64:AC65"/>
    <mergeCell ref="A66:A67"/>
    <mergeCell ref="B66:B67"/>
    <mergeCell ref="AC66:AC67"/>
    <mergeCell ref="AC70:AC71"/>
  </mergeCells>
  <phoneticPr fontId="1"/>
  <pageMargins left="0.47244094488188981" right="0.31496062992125984" top="0.59055118110236227" bottom="0.19685039370078741" header="0.31496062992125984" footer="0.31496062992125984"/>
  <pageSetup paperSize="9" scale="45" orientation="landscape" r:id="rId1"/>
  <rowBreaks count="1" manualBreakCount="1">
    <brk id="3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59C3A-EE9B-42C5-99FE-4DFFC600C04C}">
  <dimension ref="A1:AC71"/>
  <sheetViews>
    <sheetView zoomScale="50" zoomScaleNormal="50" workbookViewId="0">
      <pane xSplit="4" ySplit="9" topLeftCell="E70" activePane="bottomRight" state="frozen"/>
      <selection activeCell="E10" sqref="E10:AA71"/>
      <selection pane="topRight" activeCell="E10" sqref="E10:AA71"/>
      <selection pane="bottomLeft" activeCell="E10" sqref="E10:AA71"/>
      <selection pane="bottomRight" activeCell="E11" sqref="E11:AA11"/>
    </sheetView>
  </sheetViews>
  <sheetFormatPr defaultRowHeight="33.75" customHeight="1"/>
  <cols>
    <col min="1" max="1" width="3.625" customWidth="1"/>
    <col min="2" max="2" width="34.375" customWidth="1"/>
    <col min="3" max="3" width="0.375" customWidth="1"/>
    <col min="4" max="4" width="4.625" customWidth="1"/>
    <col min="5" max="7" width="10" customWidth="1"/>
    <col min="8" max="8" width="0.25" customWidth="1"/>
    <col min="9" max="22" width="10" customWidth="1"/>
    <col min="23" max="24" width="10" style="17" customWidth="1"/>
    <col min="25" max="27" width="10" customWidth="1"/>
    <col min="28" max="28" width="0.25" customWidth="1"/>
    <col min="29" max="29" width="14" customWidth="1"/>
  </cols>
  <sheetData>
    <row r="1" spans="1:29" ht="26.25" customHeight="1" thickBot="1">
      <c r="B1" s="4"/>
    </row>
    <row r="2" spans="1:29" ht="15" customHeight="1">
      <c r="A2" s="377" t="s">
        <v>24</v>
      </c>
      <c r="B2" s="380" t="s">
        <v>341</v>
      </c>
      <c r="C2" s="383"/>
      <c r="D2" s="355" t="s">
        <v>189</v>
      </c>
      <c r="E2" s="356"/>
      <c r="F2" s="356"/>
      <c r="G2" s="356"/>
      <c r="H2" s="386"/>
      <c r="I2" s="355" t="s">
        <v>188</v>
      </c>
      <c r="J2" s="356"/>
      <c r="K2" s="356"/>
      <c r="L2" s="356"/>
      <c r="M2" s="356"/>
      <c r="N2" s="356"/>
      <c r="O2" s="356"/>
      <c r="P2" s="356"/>
      <c r="Q2" s="356"/>
      <c r="R2" s="356"/>
      <c r="S2" s="356"/>
      <c r="T2" s="356"/>
      <c r="U2" s="356"/>
      <c r="V2" s="356"/>
      <c r="W2" s="356"/>
      <c r="X2" s="356"/>
      <c r="Y2" s="356"/>
      <c r="Z2" s="356"/>
      <c r="AA2" s="356"/>
      <c r="AB2" s="424"/>
      <c r="AC2" s="445" t="s">
        <v>265</v>
      </c>
    </row>
    <row r="3" spans="1:29" ht="18.75" customHeight="1">
      <c r="A3" s="378"/>
      <c r="B3" s="381"/>
      <c r="C3" s="384"/>
      <c r="D3" s="358"/>
      <c r="E3" s="359"/>
      <c r="F3" s="359"/>
      <c r="G3" s="359"/>
      <c r="H3" s="387"/>
      <c r="I3" s="358"/>
      <c r="J3" s="359"/>
      <c r="K3" s="359"/>
      <c r="L3" s="359"/>
      <c r="M3" s="359"/>
      <c r="N3" s="359"/>
      <c r="O3" s="359"/>
      <c r="P3" s="359"/>
      <c r="Q3" s="359"/>
      <c r="R3" s="359"/>
      <c r="S3" s="359"/>
      <c r="T3" s="359"/>
      <c r="U3" s="359"/>
      <c r="V3" s="359"/>
      <c r="W3" s="359"/>
      <c r="X3" s="359"/>
      <c r="Y3" s="359"/>
      <c r="Z3" s="359"/>
      <c r="AA3" s="359"/>
      <c r="AB3" s="425"/>
      <c r="AC3" s="446"/>
    </row>
    <row r="4" spans="1:29" ht="11.25" customHeight="1">
      <c r="A4" s="378"/>
      <c r="B4" s="382"/>
      <c r="C4" s="385"/>
      <c r="D4" s="361"/>
      <c r="E4" s="362"/>
      <c r="F4" s="362"/>
      <c r="G4" s="362"/>
      <c r="H4" s="388"/>
      <c r="I4" s="361"/>
      <c r="J4" s="362"/>
      <c r="K4" s="362"/>
      <c r="L4" s="362"/>
      <c r="M4" s="362"/>
      <c r="N4" s="362"/>
      <c r="O4" s="362"/>
      <c r="P4" s="362"/>
      <c r="Q4" s="362"/>
      <c r="R4" s="362"/>
      <c r="S4" s="362"/>
      <c r="T4" s="362"/>
      <c r="U4" s="362"/>
      <c r="V4" s="362"/>
      <c r="W4" s="362"/>
      <c r="X4" s="362"/>
      <c r="Y4" s="362"/>
      <c r="Z4" s="362"/>
      <c r="AA4" s="362"/>
      <c r="AB4" s="434"/>
      <c r="AC4" s="447" t="s">
        <v>49</v>
      </c>
    </row>
    <row r="5" spans="1:29" ht="2.25" customHeight="1">
      <c r="A5" s="378"/>
      <c r="B5" s="38"/>
      <c r="C5" s="3"/>
      <c r="D5" s="204"/>
      <c r="E5" s="397"/>
      <c r="F5" s="398"/>
      <c r="G5" s="398"/>
      <c r="H5" s="3"/>
      <c r="I5" s="397"/>
      <c r="J5" s="398"/>
      <c r="K5" s="398"/>
      <c r="L5" s="398"/>
      <c r="M5" s="398"/>
      <c r="N5" s="398"/>
      <c r="O5" s="398"/>
      <c r="P5" s="398"/>
      <c r="Q5" s="398"/>
      <c r="R5" s="398"/>
      <c r="S5" s="398"/>
      <c r="T5" s="398"/>
      <c r="U5" s="398"/>
      <c r="V5" s="398"/>
      <c r="W5" s="398"/>
      <c r="X5" s="398"/>
      <c r="Y5" s="398"/>
      <c r="Z5" s="398"/>
      <c r="AA5" s="398"/>
      <c r="AB5" s="435"/>
      <c r="AC5" s="448"/>
    </row>
    <row r="6" spans="1:29" s="201" customFormat="1" ht="15" customHeight="1">
      <c r="A6" s="378"/>
      <c r="B6" s="389" t="s">
        <v>51</v>
      </c>
      <c r="C6" s="391"/>
      <c r="D6" s="391"/>
      <c r="E6" s="391" t="s">
        <v>26</v>
      </c>
      <c r="F6" s="391" t="str">
        <f>雑収入</f>
        <v>雑収入</v>
      </c>
      <c r="G6" s="444" t="s">
        <v>27</v>
      </c>
      <c r="H6" s="391"/>
      <c r="I6" s="199" t="s">
        <v>28</v>
      </c>
      <c r="J6" s="391" t="str">
        <f>租税公課</f>
        <v>租税公課</v>
      </c>
      <c r="K6" s="391" t="s">
        <v>101</v>
      </c>
      <c r="L6" s="391" t="s">
        <v>6</v>
      </c>
      <c r="M6" s="364" t="str">
        <f>通信費</f>
        <v>通信費</v>
      </c>
      <c r="N6" s="391" t="s">
        <v>8</v>
      </c>
      <c r="O6" s="391" t="s">
        <v>9</v>
      </c>
      <c r="P6" s="391" t="s">
        <v>10</v>
      </c>
      <c r="Q6" s="364" t="str">
        <f>修繕費</f>
        <v>修繕費</v>
      </c>
      <c r="R6" s="391" t="str">
        <f>消耗品費</f>
        <v>消耗品費</v>
      </c>
      <c r="S6" s="391" t="s">
        <v>97</v>
      </c>
      <c r="T6" s="391" t="str">
        <f>給料賃金</f>
        <v>給料賃金</v>
      </c>
      <c r="U6" s="391" t="str">
        <f>外注工賃</f>
        <v>外注工賃</v>
      </c>
      <c r="V6" s="391" t="s">
        <v>16</v>
      </c>
      <c r="W6" s="364" t="str">
        <f>車両費</f>
        <v>車両費</v>
      </c>
      <c r="X6" s="484" t="str">
        <f>空欄1</f>
        <v>空欄1</v>
      </c>
      <c r="Y6" s="391" t="str">
        <f>空欄2</f>
        <v>空欄2</v>
      </c>
      <c r="Z6" s="391" t="str">
        <f>雑費</f>
        <v>雑費</v>
      </c>
      <c r="AA6" s="200" t="s">
        <v>143</v>
      </c>
      <c r="AB6" s="425"/>
      <c r="AC6" s="446"/>
    </row>
    <row r="7" spans="1:29" s="201" customFormat="1" ht="7.5" customHeight="1">
      <c r="A7" s="378"/>
      <c r="B7" s="387"/>
      <c r="C7" s="392"/>
      <c r="D7" s="392"/>
      <c r="E7" s="392"/>
      <c r="F7" s="392"/>
      <c r="G7" s="426"/>
      <c r="H7" s="392"/>
      <c r="I7" s="366" t="s">
        <v>38</v>
      </c>
      <c r="J7" s="392"/>
      <c r="K7" s="392"/>
      <c r="L7" s="392"/>
      <c r="M7" s="366"/>
      <c r="N7" s="392"/>
      <c r="O7" s="392"/>
      <c r="P7" s="392"/>
      <c r="Q7" s="366"/>
      <c r="R7" s="392"/>
      <c r="S7" s="392"/>
      <c r="T7" s="392"/>
      <c r="U7" s="392"/>
      <c r="V7" s="392"/>
      <c r="W7" s="366"/>
      <c r="X7" s="485"/>
      <c r="Y7" s="392"/>
      <c r="Z7" s="392"/>
      <c r="AA7" s="426" t="s">
        <v>98</v>
      </c>
      <c r="AB7" s="391"/>
      <c r="AC7" s="489">
        <f>繰越・10月</f>
        <v>0</v>
      </c>
    </row>
    <row r="8" spans="1:29" s="201" customFormat="1" ht="7.5" customHeight="1">
      <c r="A8" s="378"/>
      <c r="B8" s="387"/>
      <c r="C8" s="392"/>
      <c r="D8" s="392"/>
      <c r="E8" s="392" t="s">
        <v>36</v>
      </c>
      <c r="F8" s="392"/>
      <c r="G8" s="426" t="s">
        <v>37</v>
      </c>
      <c r="H8" s="392"/>
      <c r="I8" s="366"/>
      <c r="J8" s="392"/>
      <c r="K8" s="392"/>
      <c r="L8" s="392"/>
      <c r="M8" s="366"/>
      <c r="N8" s="392"/>
      <c r="O8" s="392"/>
      <c r="P8" s="392"/>
      <c r="Q8" s="366"/>
      <c r="R8" s="392"/>
      <c r="S8" s="392"/>
      <c r="T8" s="392"/>
      <c r="U8" s="392"/>
      <c r="V8" s="392"/>
      <c r="W8" s="366"/>
      <c r="X8" s="485"/>
      <c r="Y8" s="392"/>
      <c r="Z8" s="392"/>
      <c r="AA8" s="426"/>
      <c r="AB8" s="392"/>
      <c r="AC8" s="490"/>
    </row>
    <row r="9" spans="1:29" s="201" customFormat="1" ht="15" customHeight="1" thickBot="1">
      <c r="A9" s="379"/>
      <c r="B9" s="390"/>
      <c r="C9" s="393"/>
      <c r="D9" s="393"/>
      <c r="E9" s="393"/>
      <c r="F9" s="393"/>
      <c r="G9" s="416"/>
      <c r="H9" s="393"/>
      <c r="I9" s="202" t="s">
        <v>50</v>
      </c>
      <c r="J9" s="393"/>
      <c r="K9" s="393"/>
      <c r="L9" s="393"/>
      <c r="M9" s="368"/>
      <c r="N9" s="393"/>
      <c r="O9" s="393"/>
      <c r="P9" s="393"/>
      <c r="Q9" s="368"/>
      <c r="R9" s="393"/>
      <c r="S9" s="393"/>
      <c r="T9" s="393"/>
      <c r="U9" s="393"/>
      <c r="V9" s="393"/>
      <c r="W9" s="368"/>
      <c r="X9" s="486"/>
      <c r="Y9" s="393"/>
      <c r="Z9" s="393"/>
      <c r="AA9" s="203" t="s">
        <v>231</v>
      </c>
      <c r="AB9" s="392"/>
      <c r="AC9" s="490"/>
    </row>
    <row r="10" spans="1:29" s="7" customFormat="1" ht="33.75" customHeight="1">
      <c r="A10" s="455">
        <v>1</v>
      </c>
      <c r="B10" s="481"/>
      <c r="C10" s="13"/>
      <c r="D10" s="273" t="s">
        <v>177</v>
      </c>
      <c r="E10" s="216"/>
      <c r="F10" s="217"/>
      <c r="G10" s="217"/>
      <c r="H10" s="218"/>
      <c r="I10" s="217"/>
      <c r="J10" s="218"/>
      <c r="K10" s="217"/>
      <c r="L10" s="218"/>
      <c r="M10" s="217"/>
      <c r="N10" s="218"/>
      <c r="O10" s="217"/>
      <c r="P10" s="218"/>
      <c r="Q10" s="217"/>
      <c r="R10" s="218"/>
      <c r="S10" s="217"/>
      <c r="T10" s="218"/>
      <c r="U10" s="217"/>
      <c r="V10" s="217"/>
      <c r="W10" s="217"/>
      <c r="X10" s="219"/>
      <c r="Y10" s="217"/>
      <c r="Z10" s="217"/>
      <c r="AA10" s="217"/>
      <c r="AB10" s="196"/>
      <c r="AC10" s="460">
        <f>SUM($E11:$G11)-SUM($I11:$AA11)+$AC$7</f>
        <v>0</v>
      </c>
    </row>
    <row r="11" spans="1:29" s="7" customFormat="1" ht="33.75" customHeight="1" thickBot="1">
      <c r="A11" s="459"/>
      <c r="B11" s="487"/>
      <c r="C11" s="15"/>
      <c r="D11" s="274" t="s">
        <v>105</v>
      </c>
      <c r="E11" s="277"/>
      <c r="F11" s="278"/>
      <c r="G11" s="278"/>
      <c r="H11" s="276"/>
      <c r="I11" s="278"/>
      <c r="J11" s="276"/>
      <c r="K11" s="278"/>
      <c r="L11" s="276"/>
      <c r="M11" s="278"/>
      <c r="N11" s="276"/>
      <c r="O11" s="278"/>
      <c r="P11" s="276"/>
      <c r="Q11" s="278"/>
      <c r="R11" s="276"/>
      <c r="S11" s="278"/>
      <c r="T11" s="276"/>
      <c r="U11" s="278"/>
      <c r="V11" s="278"/>
      <c r="W11" s="278"/>
      <c r="X11" s="284"/>
      <c r="Y11" s="278"/>
      <c r="Z11" s="278"/>
      <c r="AA11" s="278"/>
      <c r="AB11" s="197"/>
      <c r="AC11" s="454"/>
    </row>
    <row r="12" spans="1:29" s="7" customFormat="1" ht="33.75" customHeight="1">
      <c r="A12" s="449">
        <v>2</v>
      </c>
      <c r="B12" s="483"/>
      <c r="C12" s="13"/>
      <c r="D12" s="273" t="s">
        <v>177</v>
      </c>
      <c r="E12" s="216"/>
      <c r="F12" s="217"/>
      <c r="G12" s="217"/>
      <c r="H12" s="218"/>
      <c r="I12" s="218"/>
      <c r="J12" s="218"/>
      <c r="K12" s="218"/>
      <c r="L12" s="218"/>
      <c r="M12" s="218"/>
      <c r="N12" s="218"/>
      <c r="O12" s="218"/>
      <c r="P12" s="218"/>
      <c r="Q12" s="218"/>
      <c r="R12" s="218"/>
      <c r="S12" s="218"/>
      <c r="T12" s="218"/>
      <c r="U12" s="218"/>
      <c r="V12" s="218"/>
      <c r="W12" s="218"/>
      <c r="X12" s="221"/>
      <c r="Y12" s="218"/>
      <c r="Z12" s="218"/>
      <c r="AA12" s="218"/>
      <c r="AB12" s="196"/>
      <c r="AC12" s="453">
        <f>SUM($E13:$G13)-SUM($I13:$AA13)+$AC10</f>
        <v>0</v>
      </c>
    </row>
    <row r="13" spans="1:29" s="7" customFormat="1" ht="33.75" customHeight="1" thickBot="1">
      <c r="A13" s="450"/>
      <c r="B13" s="482"/>
      <c r="C13" s="15"/>
      <c r="D13" s="274" t="s">
        <v>105</v>
      </c>
      <c r="E13" s="277"/>
      <c r="F13" s="278"/>
      <c r="G13" s="278"/>
      <c r="H13" s="276"/>
      <c r="I13" s="276"/>
      <c r="J13" s="276"/>
      <c r="K13" s="276"/>
      <c r="L13" s="276"/>
      <c r="M13" s="276"/>
      <c r="N13" s="276"/>
      <c r="O13" s="276"/>
      <c r="P13" s="276"/>
      <c r="Q13" s="276"/>
      <c r="R13" s="276"/>
      <c r="S13" s="276"/>
      <c r="T13" s="276"/>
      <c r="U13" s="276"/>
      <c r="V13" s="276"/>
      <c r="W13" s="276"/>
      <c r="X13" s="279"/>
      <c r="Y13" s="276"/>
      <c r="Z13" s="276"/>
      <c r="AA13" s="276"/>
      <c r="AB13" s="197"/>
      <c r="AC13" s="454"/>
    </row>
    <row r="14" spans="1:29" s="7" customFormat="1" ht="33.75" customHeight="1">
      <c r="A14" s="455">
        <v>3</v>
      </c>
      <c r="B14" s="481"/>
      <c r="C14" s="13"/>
      <c r="D14" s="273" t="s">
        <v>177</v>
      </c>
      <c r="E14" s="216"/>
      <c r="F14" s="217"/>
      <c r="G14" s="217"/>
      <c r="H14" s="218"/>
      <c r="I14" s="218"/>
      <c r="J14" s="218"/>
      <c r="K14" s="218"/>
      <c r="L14" s="218"/>
      <c r="M14" s="218"/>
      <c r="N14" s="218"/>
      <c r="O14" s="218"/>
      <c r="P14" s="218"/>
      <c r="Q14" s="218"/>
      <c r="R14" s="218"/>
      <c r="S14" s="218"/>
      <c r="T14" s="218"/>
      <c r="U14" s="218"/>
      <c r="V14" s="218"/>
      <c r="W14" s="218"/>
      <c r="X14" s="221"/>
      <c r="Y14" s="218"/>
      <c r="Z14" s="218"/>
      <c r="AA14" s="218"/>
      <c r="AB14" s="196"/>
      <c r="AC14" s="453">
        <f>SUM($E15:$G15)-SUM($I15:$AA15)+$AC12</f>
        <v>0</v>
      </c>
    </row>
    <row r="15" spans="1:29" s="7" customFormat="1" ht="33.75" customHeight="1" thickBot="1">
      <c r="A15" s="456"/>
      <c r="B15" s="482"/>
      <c r="C15" s="15"/>
      <c r="D15" s="274" t="s">
        <v>105</v>
      </c>
      <c r="E15" s="277"/>
      <c r="F15" s="278"/>
      <c r="G15" s="278"/>
      <c r="H15" s="276"/>
      <c r="I15" s="276"/>
      <c r="J15" s="276"/>
      <c r="K15" s="276"/>
      <c r="L15" s="276"/>
      <c r="M15" s="276"/>
      <c r="N15" s="276"/>
      <c r="O15" s="276"/>
      <c r="P15" s="276"/>
      <c r="Q15" s="276"/>
      <c r="R15" s="276"/>
      <c r="S15" s="276"/>
      <c r="T15" s="276"/>
      <c r="U15" s="276"/>
      <c r="V15" s="276"/>
      <c r="W15" s="276"/>
      <c r="X15" s="279"/>
      <c r="Y15" s="276"/>
      <c r="Z15" s="276"/>
      <c r="AA15" s="276"/>
      <c r="AB15" s="197"/>
      <c r="AC15" s="454"/>
    </row>
    <row r="16" spans="1:29" s="7" customFormat="1" ht="33.75" customHeight="1">
      <c r="A16" s="464">
        <v>4</v>
      </c>
      <c r="B16" s="481"/>
      <c r="C16" s="13"/>
      <c r="D16" s="273" t="s">
        <v>177</v>
      </c>
      <c r="E16" s="216"/>
      <c r="F16" s="217"/>
      <c r="G16" s="217"/>
      <c r="H16" s="218"/>
      <c r="I16" s="218"/>
      <c r="J16" s="218"/>
      <c r="K16" s="218"/>
      <c r="L16" s="218"/>
      <c r="M16" s="218"/>
      <c r="N16" s="218"/>
      <c r="O16" s="218"/>
      <c r="P16" s="218"/>
      <c r="Q16" s="218"/>
      <c r="R16" s="218"/>
      <c r="S16" s="218"/>
      <c r="T16" s="218"/>
      <c r="U16" s="218"/>
      <c r="V16" s="218"/>
      <c r="W16" s="218"/>
      <c r="X16" s="221"/>
      <c r="Y16" s="218"/>
      <c r="Z16" s="218"/>
      <c r="AA16" s="218"/>
      <c r="AB16" s="196"/>
      <c r="AC16" s="453">
        <f t="shared" ref="AC16" si="0">SUM($E17:$G17)-SUM($I17:$AA17)+$AC14</f>
        <v>0</v>
      </c>
    </row>
    <row r="17" spans="1:29" s="7" customFormat="1" ht="33.75" customHeight="1" thickBot="1">
      <c r="A17" s="450"/>
      <c r="B17" s="482"/>
      <c r="C17" s="15"/>
      <c r="D17" s="274" t="s">
        <v>105</v>
      </c>
      <c r="E17" s="277"/>
      <c r="F17" s="278"/>
      <c r="G17" s="278"/>
      <c r="H17" s="276"/>
      <c r="I17" s="276"/>
      <c r="J17" s="276"/>
      <c r="K17" s="276"/>
      <c r="L17" s="276"/>
      <c r="M17" s="276"/>
      <c r="N17" s="276"/>
      <c r="O17" s="276"/>
      <c r="P17" s="276"/>
      <c r="Q17" s="276"/>
      <c r="R17" s="276"/>
      <c r="S17" s="276"/>
      <c r="T17" s="276"/>
      <c r="U17" s="276"/>
      <c r="V17" s="276"/>
      <c r="W17" s="276"/>
      <c r="X17" s="279"/>
      <c r="Y17" s="276"/>
      <c r="Z17" s="276"/>
      <c r="AA17" s="276"/>
      <c r="AB17" s="197"/>
      <c r="AC17" s="454"/>
    </row>
    <row r="18" spans="1:29" s="7" customFormat="1" ht="33.75" customHeight="1">
      <c r="A18" s="455">
        <v>5</v>
      </c>
      <c r="B18" s="481"/>
      <c r="C18" s="13"/>
      <c r="D18" s="273" t="s">
        <v>177</v>
      </c>
      <c r="E18" s="216"/>
      <c r="F18" s="217"/>
      <c r="G18" s="217"/>
      <c r="H18" s="218"/>
      <c r="I18" s="218"/>
      <c r="J18" s="218"/>
      <c r="K18" s="218"/>
      <c r="L18" s="218"/>
      <c r="M18" s="218"/>
      <c r="N18" s="218"/>
      <c r="O18" s="218"/>
      <c r="P18" s="218"/>
      <c r="Q18" s="218"/>
      <c r="R18" s="218"/>
      <c r="S18" s="218"/>
      <c r="T18" s="218"/>
      <c r="U18" s="218"/>
      <c r="V18" s="218"/>
      <c r="W18" s="218"/>
      <c r="X18" s="221"/>
      <c r="Y18" s="218"/>
      <c r="Z18" s="218"/>
      <c r="AA18" s="218"/>
      <c r="AB18" s="196"/>
      <c r="AC18" s="453">
        <f t="shared" ref="AC18" si="1">SUM($E19:$G19)-SUM($I19:$AA19)+$AC16</f>
        <v>0</v>
      </c>
    </row>
    <row r="19" spans="1:29" s="7" customFormat="1" ht="33.75" customHeight="1" thickBot="1">
      <c r="A19" s="456"/>
      <c r="B19" s="482"/>
      <c r="C19" s="15"/>
      <c r="D19" s="274" t="s">
        <v>105</v>
      </c>
      <c r="E19" s="277"/>
      <c r="F19" s="278"/>
      <c r="G19" s="278"/>
      <c r="H19" s="276"/>
      <c r="I19" s="276"/>
      <c r="J19" s="276"/>
      <c r="K19" s="276"/>
      <c r="L19" s="276"/>
      <c r="M19" s="276"/>
      <c r="N19" s="276"/>
      <c r="O19" s="276"/>
      <c r="P19" s="276"/>
      <c r="Q19" s="276"/>
      <c r="R19" s="276"/>
      <c r="S19" s="276"/>
      <c r="T19" s="276"/>
      <c r="U19" s="276"/>
      <c r="V19" s="276"/>
      <c r="W19" s="276"/>
      <c r="X19" s="279"/>
      <c r="Y19" s="276"/>
      <c r="Z19" s="276"/>
      <c r="AA19" s="276"/>
      <c r="AB19" s="197"/>
      <c r="AC19" s="454"/>
    </row>
    <row r="20" spans="1:29" s="7" customFormat="1" ht="33.75" customHeight="1">
      <c r="A20" s="464">
        <v>6</v>
      </c>
      <c r="B20" s="481"/>
      <c r="C20" s="13"/>
      <c r="D20" s="273" t="s">
        <v>177</v>
      </c>
      <c r="E20" s="216"/>
      <c r="F20" s="217"/>
      <c r="G20" s="217"/>
      <c r="H20" s="218"/>
      <c r="I20" s="218"/>
      <c r="J20" s="218"/>
      <c r="K20" s="218"/>
      <c r="L20" s="218"/>
      <c r="M20" s="218"/>
      <c r="N20" s="218"/>
      <c r="O20" s="218"/>
      <c r="P20" s="218"/>
      <c r="Q20" s="218"/>
      <c r="R20" s="218"/>
      <c r="S20" s="218"/>
      <c r="T20" s="218"/>
      <c r="U20" s="218"/>
      <c r="V20" s="218"/>
      <c r="W20" s="218"/>
      <c r="X20" s="221"/>
      <c r="Y20" s="218"/>
      <c r="Z20" s="218"/>
      <c r="AA20" s="218"/>
      <c r="AB20" s="196"/>
      <c r="AC20" s="453">
        <f t="shared" ref="AC20" si="2">SUM($E21:$G21)-SUM($I21:$AA21)+$AC18</f>
        <v>0</v>
      </c>
    </row>
    <row r="21" spans="1:29" s="7" customFormat="1" ht="33.75" customHeight="1" thickBot="1">
      <c r="A21" s="450"/>
      <c r="B21" s="482"/>
      <c r="C21" s="15"/>
      <c r="D21" s="274" t="s">
        <v>105</v>
      </c>
      <c r="E21" s="277"/>
      <c r="F21" s="278"/>
      <c r="G21" s="278"/>
      <c r="H21" s="276"/>
      <c r="I21" s="276"/>
      <c r="J21" s="276"/>
      <c r="K21" s="276"/>
      <c r="L21" s="276"/>
      <c r="M21" s="276"/>
      <c r="N21" s="276"/>
      <c r="O21" s="276"/>
      <c r="P21" s="276"/>
      <c r="Q21" s="276"/>
      <c r="R21" s="276"/>
      <c r="S21" s="276"/>
      <c r="T21" s="276"/>
      <c r="U21" s="276"/>
      <c r="V21" s="276"/>
      <c r="W21" s="276"/>
      <c r="X21" s="279"/>
      <c r="Y21" s="276"/>
      <c r="Z21" s="276"/>
      <c r="AA21" s="276"/>
      <c r="AB21" s="197"/>
      <c r="AC21" s="454"/>
    </row>
    <row r="22" spans="1:29" s="7" customFormat="1" ht="33.75" customHeight="1">
      <c r="A22" s="455">
        <v>7</v>
      </c>
      <c r="B22" s="481"/>
      <c r="C22" s="13"/>
      <c r="D22" s="273" t="s">
        <v>177</v>
      </c>
      <c r="E22" s="216"/>
      <c r="F22" s="217"/>
      <c r="G22" s="217"/>
      <c r="H22" s="218"/>
      <c r="I22" s="218"/>
      <c r="J22" s="218"/>
      <c r="K22" s="218"/>
      <c r="L22" s="218"/>
      <c r="M22" s="218"/>
      <c r="N22" s="218"/>
      <c r="O22" s="218"/>
      <c r="P22" s="218"/>
      <c r="Q22" s="218"/>
      <c r="R22" s="218"/>
      <c r="S22" s="218"/>
      <c r="T22" s="218"/>
      <c r="U22" s="218"/>
      <c r="V22" s="218"/>
      <c r="W22" s="218"/>
      <c r="X22" s="221"/>
      <c r="Y22" s="218"/>
      <c r="Z22" s="218"/>
      <c r="AA22" s="218"/>
      <c r="AB22" s="196"/>
      <c r="AC22" s="453">
        <f t="shared" ref="AC22" si="3">SUM($E23:$G23)-SUM($I23:$AA23)+$AC20</f>
        <v>0</v>
      </c>
    </row>
    <row r="23" spans="1:29" s="7" customFormat="1" ht="33.75" customHeight="1" thickBot="1">
      <c r="A23" s="456"/>
      <c r="B23" s="482"/>
      <c r="C23" s="15"/>
      <c r="D23" s="274" t="s">
        <v>105</v>
      </c>
      <c r="E23" s="277"/>
      <c r="F23" s="278"/>
      <c r="G23" s="278"/>
      <c r="H23" s="276"/>
      <c r="I23" s="276"/>
      <c r="J23" s="276"/>
      <c r="K23" s="276"/>
      <c r="L23" s="276"/>
      <c r="M23" s="276"/>
      <c r="N23" s="276"/>
      <c r="O23" s="276"/>
      <c r="P23" s="276"/>
      <c r="Q23" s="276"/>
      <c r="R23" s="276"/>
      <c r="S23" s="276"/>
      <c r="T23" s="276"/>
      <c r="U23" s="276"/>
      <c r="V23" s="276"/>
      <c r="W23" s="276"/>
      <c r="X23" s="279"/>
      <c r="Y23" s="276"/>
      <c r="Z23" s="276"/>
      <c r="AA23" s="276"/>
      <c r="AB23" s="197"/>
      <c r="AC23" s="454"/>
    </row>
    <row r="24" spans="1:29" s="7" customFormat="1" ht="33.75" customHeight="1">
      <c r="A24" s="464">
        <v>8</v>
      </c>
      <c r="B24" s="481"/>
      <c r="C24" s="13"/>
      <c r="D24" s="273" t="s">
        <v>177</v>
      </c>
      <c r="E24" s="216"/>
      <c r="F24" s="217"/>
      <c r="G24" s="217"/>
      <c r="H24" s="218"/>
      <c r="I24" s="218"/>
      <c r="J24" s="218"/>
      <c r="K24" s="218"/>
      <c r="L24" s="218"/>
      <c r="M24" s="218"/>
      <c r="N24" s="218"/>
      <c r="O24" s="218"/>
      <c r="P24" s="218"/>
      <c r="Q24" s="218"/>
      <c r="R24" s="218"/>
      <c r="S24" s="218"/>
      <c r="T24" s="218"/>
      <c r="U24" s="218"/>
      <c r="V24" s="218"/>
      <c r="W24" s="218"/>
      <c r="X24" s="221"/>
      <c r="Y24" s="218"/>
      <c r="Z24" s="218"/>
      <c r="AA24" s="218"/>
      <c r="AB24" s="196"/>
      <c r="AC24" s="453">
        <f t="shared" ref="AC24" si="4">SUM($E25:$G25)-SUM($I25:$AA25)+$AC22</f>
        <v>0</v>
      </c>
    </row>
    <row r="25" spans="1:29" s="7" customFormat="1" ht="33.75" customHeight="1" thickBot="1">
      <c r="A25" s="450"/>
      <c r="B25" s="482"/>
      <c r="C25" s="15"/>
      <c r="D25" s="274" t="s">
        <v>105</v>
      </c>
      <c r="E25" s="277"/>
      <c r="F25" s="278"/>
      <c r="G25" s="278"/>
      <c r="H25" s="276"/>
      <c r="I25" s="276"/>
      <c r="J25" s="276"/>
      <c r="K25" s="276"/>
      <c r="L25" s="276"/>
      <c r="M25" s="276"/>
      <c r="N25" s="276"/>
      <c r="O25" s="276"/>
      <c r="P25" s="276"/>
      <c r="Q25" s="276"/>
      <c r="R25" s="276"/>
      <c r="S25" s="276"/>
      <c r="T25" s="276"/>
      <c r="U25" s="276"/>
      <c r="V25" s="276"/>
      <c r="W25" s="276"/>
      <c r="X25" s="279"/>
      <c r="Y25" s="276"/>
      <c r="Z25" s="276"/>
      <c r="AA25" s="276"/>
      <c r="AB25" s="197"/>
      <c r="AC25" s="454"/>
    </row>
    <row r="26" spans="1:29" s="7" customFormat="1" ht="33.75" customHeight="1">
      <c r="A26" s="455">
        <v>9</v>
      </c>
      <c r="B26" s="481"/>
      <c r="C26" s="13"/>
      <c r="D26" s="273" t="s">
        <v>177</v>
      </c>
      <c r="E26" s="216"/>
      <c r="F26" s="217"/>
      <c r="G26" s="217"/>
      <c r="H26" s="218"/>
      <c r="I26" s="218"/>
      <c r="J26" s="218"/>
      <c r="K26" s="218"/>
      <c r="L26" s="218"/>
      <c r="M26" s="218"/>
      <c r="N26" s="218"/>
      <c r="O26" s="218"/>
      <c r="P26" s="218"/>
      <c r="Q26" s="218"/>
      <c r="R26" s="218"/>
      <c r="S26" s="218"/>
      <c r="T26" s="218"/>
      <c r="U26" s="218"/>
      <c r="V26" s="218"/>
      <c r="W26" s="218"/>
      <c r="X26" s="221"/>
      <c r="Y26" s="218"/>
      <c r="Z26" s="218"/>
      <c r="AA26" s="218"/>
      <c r="AB26" s="196"/>
      <c r="AC26" s="453">
        <f t="shared" ref="AC26" si="5">SUM($E27:$G27)-SUM($I27:$AA27)+$AC24</f>
        <v>0</v>
      </c>
    </row>
    <row r="27" spans="1:29" s="7" customFormat="1" ht="33.75" customHeight="1" thickBot="1">
      <c r="A27" s="456"/>
      <c r="B27" s="482"/>
      <c r="C27" s="15"/>
      <c r="D27" s="274" t="s">
        <v>105</v>
      </c>
      <c r="E27" s="277"/>
      <c r="F27" s="278"/>
      <c r="G27" s="278"/>
      <c r="H27" s="276"/>
      <c r="I27" s="276"/>
      <c r="J27" s="276"/>
      <c r="K27" s="276"/>
      <c r="L27" s="276"/>
      <c r="M27" s="276"/>
      <c r="N27" s="276"/>
      <c r="O27" s="276"/>
      <c r="P27" s="276"/>
      <c r="Q27" s="276"/>
      <c r="R27" s="276"/>
      <c r="S27" s="276"/>
      <c r="T27" s="276"/>
      <c r="U27" s="276"/>
      <c r="V27" s="276"/>
      <c r="W27" s="276"/>
      <c r="X27" s="279"/>
      <c r="Y27" s="276"/>
      <c r="Z27" s="276"/>
      <c r="AA27" s="276"/>
      <c r="AB27" s="197"/>
      <c r="AC27" s="454"/>
    </row>
    <row r="28" spans="1:29" s="7" customFormat="1" ht="33.75" customHeight="1">
      <c r="A28" s="464">
        <v>10</v>
      </c>
      <c r="B28" s="481"/>
      <c r="C28" s="13"/>
      <c r="D28" s="273" t="s">
        <v>177</v>
      </c>
      <c r="E28" s="216"/>
      <c r="F28" s="217"/>
      <c r="G28" s="217"/>
      <c r="H28" s="218"/>
      <c r="I28" s="218"/>
      <c r="J28" s="218"/>
      <c r="K28" s="218"/>
      <c r="L28" s="218"/>
      <c r="M28" s="218"/>
      <c r="N28" s="218"/>
      <c r="O28" s="218"/>
      <c r="P28" s="218"/>
      <c r="Q28" s="218"/>
      <c r="R28" s="218"/>
      <c r="S28" s="218"/>
      <c r="T28" s="218"/>
      <c r="U28" s="218"/>
      <c r="V28" s="218"/>
      <c r="W28" s="218"/>
      <c r="X28" s="221"/>
      <c r="Y28" s="218"/>
      <c r="Z28" s="218"/>
      <c r="AA28" s="218"/>
      <c r="AB28" s="196"/>
      <c r="AC28" s="453">
        <f t="shared" ref="AC28" si="6">SUM($E29:$G29)-SUM($I29:$AA29)+$AC26</f>
        <v>0</v>
      </c>
    </row>
    <row r="29" spans="1:29" s="7" customFormat="1" ht="33.75" customHeight="1" thickBot="1">
      <c r="A29" s="450"/>
      <c r="B29" s="482"/>
      <c r="C29" s="15"/>
      <c r="D29" s="274" t="s">
        <v>105</v>
      </c>
      <c r="E29" s="277"/>
      <c r="F29" s="278"/>
      <c r="G29" s="278"/>
      <c r="H29" s="276"/>
      <c r="I29" s="276"/>
      <c r="J29" s="276"/>
      <c r="K29" s="276"/>
      <c r="L29" s="276"/>
      <c r="M29" s="276"/>
      <c r="N29" s="276"/>
      <c r="O29" s="276"/>
      <c r="P29" s="276"/>
      <c r="Q29" s="276"/>
      <c r="R29" s="276"/>
      <c r="S29" s="276"/>
      <c r="T29" s="276"/>
      <c r="U29" s="276"/>
      <c r="V29" s="276"/>
      <c r="W29" s="276"/>
      <c r="X29" s="279"/>
      <c r="Y29" s="276"/>
      <c r="Z29" s="276"/>
      <c r="AA29" s="276"/>
      <c r="AB29" s="197"/>
      <c r="AC29" s="454"/>
    </row>
    <row r="30" spans="1:29" s="7" customFormat="1" ht="33.75" customHeight="1">
      <c r="A30" s="455">
        <v>11</v>
      </c>
      <c r="B30" s="481"/>
      <c r="C30" s="13"/>
      <c r="D30" s="273" t="s">
        <v>177</v>
      </c>
      <c r="E30" s="216"/>
      <c r="F30" s="217"/>
      <c r="G30" s="217"/>
      <c r="H30" s="218"/>
      <c r="I30" s="218"/>
      <c r="J30" s="218"/>
      <c r="K30" s="218"/>
      <c r="L30" s="218"/>
      <c r="M30" s="218"/>
      <c r="N30" s="218"/>
      <c r="O30" s="218"/>
      <c r="P30" s="218"/>
      <c r="Q30" s="218"/>
      <c r="R30" s="218"/>
      <c r="S30" s="218"/>
      <c r="T30" s="218"/>
      <c r="U30" s="218"/>
      <c r="V30" s="218"/>
      <c r="W30" s="218"/>
      <c r="X30" s="221"/>
      <c r="Y30" s="218"/>
      <c r="Z30" s="218"/>
      <c r="AA30" s="218"/>
      <c r="AB30" s="196"/>
      <c r="AC30" s="453">
        <f t="shared" ref="AC30" si="7">SUM($E31:$G31)-SUM($I31:$AA31)+$AC28</f>
        <v>0</v>
      </c>
    </row>
    <row r="31" spans="1:29" s="7" customFormat="1" ht="33.75" customHeight="1" thickBot="1">
      <c r="A31" s="456"/>
      <c r="B31" s="482"/>
      <c r="C31" s="15"/>
      <c r="D31" s="274" t="s">
        <v>105</v>
      </c>
      <c r="E31" s="277"/>
      <c r="F31" s="278"/>
      <c r="G31" s="278"/>
      <c r="H31" s="276"/>
      <c r="I31" s="276"/>
      <c r="J31" s="276"/>
      <c r="K31" s="276"/>
      <c r="L31" s="276"/>
      <c r="M31" s="276"/>
      <c r="N31" s="276"/>
      <c r="O31" s="276"/>
      <c r="P31" s="276"/>
      <c r="Q31" s="276"/>
      <c r="R31" s="276"/>
      <c r="S31" s="276"/>
      <c r="T31" s="276"/>
      <c r="U31" s="276"/>
      <c r="V31" s="276"/>
      <c r="W31" s="276"/>
      <c r="X31" s="279"/>
      <c r="Y31" s="276"/>
      <c r="Z31" s="276"/>
      <c r="AA31" s="276"/>
      <c r="AB31" s="197"/>
      <c r="AC31" s="454"/>
    </row>
    <row r="32" spans="1:29" s="7" customFormat="1" ht="33.75" customHeight="1">
      <c r="A32" s="464">
        <v>12</v>
      </c>
      <c r="B32" s="481"/>
      <c r="C32" s="13"/>
      <c r="D32" s="273" t="s">
        <v>177</v>
      </c>
      <c r="E32" s="216"/>
      <c r="F32" s="217"/>
      <c r="G32" s="217"/>
      <c r="H32" s="218"/>
      <c r="I32" s="218"/>
      <c r="J32" s="218"/>
      <c r="K32" s="218"/>
      <c r="L32" s="218"/>
      <c r="M32" s="218"/>
      <c r="N32" s="218"/>
      <c r="O32" s="218"/>
      <c r="P32" s="218"/>
      <c r="Q32" s="218"/>
      <c r="R32" s="218"/>
      <c r="S32" s="218"/>
      <c r="T32" s="218"/>
      <c r="U32" s="218"/>
      <c r="V32" s="218"/>
      <c r="W32" s="218"/>
      <c r="X32" s="221"/>
      <c r="Y32" s="218"/>
      <c r="Z32" s="218"/>
      <c r="AA32" s="218"/>
      <c r="AB32" s="196"/>
      <c r="AC32" s="453">
        <f t="shared" ref="AC32" si="8">SUM($E33:$G33)-SUM($I33:$AA33)+$AC30</f>
        <v>0</v>
      </c>
    </row>
    <row r="33" spans="1:29" s="7" customFormat="1" ht="33.75" customHeight="1" thickBot="1">
      <c r="A33" s="450"/>
      <c r="B33" s="482"/>
      <c r="C33" s="15"/>
      <c r="D33" s="274" t="s">
        <v>105</v>
      </c>
      <c r="E33" s="277"/>
      <c r="F33" s="278"/>
      <c r="G33" s="278"/>
      <c r="H33" s="276"/>
      <c r="I33" s="276"/>
      <c r="J33" s="276"/>
      <c r="K33" s="276"/>
      <c r="L33" s="276"/>
      <c r="M33" s="276"/>
      <c r="N33" s="276"/>
      <c r="O33" s="276"/>
      <c r="P33" s="276"/>
      <c r="Q33" s="276"/>
      <c r="R33" s="276"/>
      <c r="S33" s="276"/>
      <c r="T33" s="276"/>
      <c r="U33" s="276"/>
      <c r="V33" s="276"/>
      <c r="W33" s="276"/>
      <c r="X33" s="279"/>
      <c r="Y33" s="276"/>
      <c r="Z33" s="276"/>
      <c r="AA33" s="276"/>
      <c r="AB33" s="197"/>
      <c r="AC33" s="454"/>
    </row>
    <row r="34" spans="1:29" s="7" customFormat="1" ht="33.75" customHeight="1">
      <c r="A34" s="455">
        <v>13</v>
      </c>
      <c r="B34" s="481"/>
      <c r="C34" s="13"/>
      <c r="D34" s="273" t="s">
        <v>177</v>
      </c>
      <c r="E34" s="216"/>
      <c r="F34" s="217"/>
      <c r="G34" s="217"/>
      <c r="H34" s="218"/>
      <c r="I34" s="218"/>
      <c r="J34" s="218"/>
      <c r="K34" s="218"/>
      <c r="L34" s="218"/>
      <c r="M34" s="218"/>
      <c r="N34" s="218"/>
      <c r="O34" s="218"/>
      <c r="P34" s="218"/>
      <c r="Q34" s="218"/>
      <c r="R34" s="218"/>
      <c r="S34" s="218"/>
      <c r="T34" s="218"/>
      <c r="U34" s="218"/>
      <c r="V34" s="218"/>
      <c r="W34" s="218"/>
      <c r="X34" s="221"/>
      <c r="Y34" s="218"/>
      <c r="Z34" s="218"/>
      <c r="AA34" s="218"/>
      <c r="AB34" s="196"/>
      <c r="AC34" s="453">
        <f>SUM($E35:$G35)-SUM($I35:$AA35)+$AC32</f>
        <v>0</v>
      </c>
    </row>
    <row r="35" spans="1:29" s="7" customFormat="1" ht="33.75" customHeight="1" thickBot="1">
      <c r="A35" s="456"/>
      <c r="B35" s="482"/>
      <c r="C35" s="15"/>
      <c r="D35" s="274" t="s">
        <v>105</v>
      </c>
      <c r="E35" s="277"/>
      <c r="F35" s="278"/>
      <c r="G35" s="278"/>
      <c r="H35" s="276"/>
      <c r="I35" s="276"/>
      <c r="J35" s="276"/>
      <c r="K35" s="276"/>
      <c r="L35" s="276"/>
      <c r="M35" s="276"/>
      <c r="N35" s="276"/>
      <c r="O35" s="276"/>
      <c r="P35" s="276"/>
      <c r="Q35" s="276"/>
      <c r="R35" s="276"/>
      <c r="S35" s="276"/>
      <c r="T35" s="276"/>
      <c r="U35" s="276"/>
      <c r="V35" s="276"/>
      <c r="W35" s="276"/>
      <c r="X35" s="279"/>
      <c r="Y35" s="276"/>
      <c r="Z35" s="276"/>
      <c r="AA35" s="276"/>
      <c r="AB35" s="197"/>
      <c r="AC35" s="454"/>
    </row>
    <row r="36" spans="1:29" s="7" customFormat="1" ht="33.75" customHeight="1">
      <c r="A36" s="464">
        <v>14</v>
      </c>
      <c r="B36" s="481"/>
      <c r="C36" s="13"/>
      <c r="D36" s="273" t="s">
        <v>177</v>
      </c>
      <c r="E36" s="216"/>
      <c r="F36" s="217"/>
      <c r="G36" s="217"/>
      <c r="H36" s="218"/>
      <c r="I36" s="218"/>
      <c r="J36" s="218"/>
      <c r="K36" s="218"/>
      <c r="L36" s="218"/>
      <c r="M36" s="218"/>
      <c r="N36" s="218"/>
      <c r="O36" s="218"/>
      <c r="P36" s="218"/>
      <c r="Q36" s="218"/>
      <c r="R36" s="218"/>
      <c r="S36" s="218"/>
      <c r="T36" s="218"/>
      <c r="U36" s="218"/>
      <c r="V36" s="218"/>
      <c r="W36" s="218"/>
      <c r="X36" s="221"/>
      <c r="Y36" s="218"/>
      <c r="Z36" s="218"/>
      <c r="AA36" s="218"/>
      <c r="AB36" s="196"/>
      <c r="AC36" s="453">
        <f t="shared" ref="AC36" si="9">SUM($E37:$G37)-SUM($I37:$AA37)+$AC34</f>
        <v>0</v>
      </c>
    </row>
    <row r="37" spans="1:29" s="7" customFormat="1" ht="33.75" customHeight="1" thickBot="1">
      <c r="A37" s="449"/>
      <c r="B37" s="483"/>
      <c r="C37" s="15"/>
      <c r="D37" s="199" t="s">
        <v>105</v>
      </c>
      <c r="E37" s="280"/>
      <c r="F37" s="281"/>
      <c r="G37" s="281"/>
      <c r="H37" s="282"/>
      <c r="I37" s="282"/>
      <c r="J37" s="282"/>
      <c r="K37" s="282"/>
      <c r="L37" s="282"/>
      <c r="M37" s="282"/>
      <c r="N37" s="282"/>
      <c r="O37" s="282"/>
      <c r="P37" s="282"/>
      <c r="Q37" s="282"/>
      <c r="R37" s="282"/>
      <c r="S37" s="282"/>
      <c r="T37" s="282"/>
      <c r="U37" s="282"/>
      <c r="V37" s="282"/>
      <c r="W37" s="282"/>
      <c r="X37" s="283"/>
      <c r="Y37" s="282"/>
      <c r="Z37" s="282"/>
      <c r="AA37" s="282"/>
      <c r="AB37" s="194"/>
      <c r="AC37" s="465"/>
    </row>
    <row r="38" spans="1:29" s="7" customFormat="1" ht="33.75" customHeight="1">
      <c r="A38" s="455">
        <v>15</v>
      </c>
      <c r="B38" s="479"/>
      <c r="C38" s="13"/>
      <c r="D38" s="273" t="s">
        <v>177</v>
      </c>
      <c r="E38" s="216"/>
      <c r="F38" s="217"/>
      <c r="G38" s="217"/>
      <c r="H38" s="218"/>
      <c r="I38" s="218"/>
      <c r="J38" s="218"/>
      <c r="K38" s="218"/>
      <c r="L38" s="218"/>
      <c r="M38" s="218"/>
      <c r="N38" s="218"/>
      <c r="O38" s="218"/>
      <c r="P38" s="218"/>
      <c r="Q38" s="218"/>
      <c r="R38" s="218"/>
      <c r="S38" s="218"/>
      <c r="T38" s="218"/>
      <c r="U38" s="218"/>
      <c r="V38" s="218"/>
      <c r="W38" s="218"/>
      <c r="X38" s="221"/>
      <c r="Y38" s="218"/>
      <c r="Z38" s="218"/>
      <c r="AA38" s="218"/>
      <c r="AB38" s="190"/>
      <c r="AC38" s="453">
        <f t="shared" ref="AC38" si="10">SUM($E39:$G39)-SUM($I39:$AA39)+$AC36</f>
        <v>0</v>
      </c>
    </row>
    <row r="39" spans="1:29" s="7" customFormat="1" ht="33.75" customHeight="1" thickBot="1">
      <c r="A39" s="459"/>
      <c r="B39" s="480"/>
      <c r="C39" s="15"/>
      <c r="D39" s="274" t="s">
        <v>105</v>
      </c>
      <c r="E39" s="277"/>
      <c r="F39" s="278"/>
      <c r="G39" s="278"/>
      <c r="H39" s="276"/>
      <c r="I39" s="276"/>
      <c r="J39" s="276"/>
      <c r="K39" s="276"/>
      <c r="L39" s="276"/>
      <c r="M39" s="276"/>
      <c r="N39" s="276"/>
      <c r="O39" s="276"/>
      <c r="P39" s="276"/>
      <c r="Q39" s="276"/>
      <c r="R39" s="276"/>
      <c r="S39" s="276"/>
      <c r="T39" s="276"/>
      <c r="U39" s="276"/>
      <c r="V39" s="276"/>
      <c r="W39" s="276"/>
      <c r="X39" s="279"/>
      <c r="Y39" s="276"/>
      <c r="Z39" s="276"/>
      <c r="AA39" s="276"/>
      <c r="AB39" s="191"/>
      <c r="AC39" s="454"/>
    </row>
    <row r="40" spans="1:29" s="7" customFormat="1" ht="33.75" customHeight="1">
      <c r="A40" s="466">
        <v>16</v>
      </c>
      <c r="B40" s="479"/>
      <c r="C40" s="13"/>
      <c r="D40" s="273" t="s">
        <v>177</v>
      </c>
      <c r="E40" s="216"/>
      <c r="F40" s="217"/>
      <c r="G40" s="217"/>
      <c r="H40" s="218"/>
      <c r="I40" s="218"/>
      <c r="J40" s="218"/>
      <c r="K40" s="218"/>
      <c r="L40" s="218"/>
      <c r="M40" s="218"/>
      <c r="N40" s="218"/>
      <c r="O40" s="218"/>
      <c r="P40" s="218"/>
      <c r="Q40" s="218"/>
      <c r="R40" s="218"/>
      <c r="S40" s="218"/>
      <c r="T40" s="218"/>
      <c r="U40" s="218"/>
      <c r="V40" s="218"/>
      <c r="W40" s="218"/>
      <c r="X40" s="221"/>
      <c r="Y40" s="218"/>
      <c r="Z40" s="218"/>
      <c r="AA40" s="218"/>
      <c r="AB40" s="190"/>
      <c r="AC40" s="453">
        <f t="shared" ref="AC40" si="11">SUM($E41:$G41)-SUM($I41:$AA41)+$AC38</f>
        <v>0</v>
      </c>
    </row>
    <row r="41" spans="1:29" s="7" customFormat="1" ht="33.75" customHeight="1" thickBot="1">
      <c r="A41" s="467"/>
      <c r="B41" s="480"/>
      <c r="C41" s="15"/>
      <c r="D41" s="274" t="s">
        <v>105</v>
      </c>
      <c r="E41" s="277"/>
      <c r="F41" s="278"/>
      <c r="G41" s="278"/>
      <c r="H41" s="276"/>
      <c r="I41" s="276"/>
      <c r="J41" s="276"/>
      <c r="K41" s="276"/>
      <c r="L41" s="276"/>
      <c r="M41" s="276"/>
      <c r="N41" s="276"/>
      <c r="O41" s="276"/>
      <c r="P41" s="276"/>
      <c r="Q41" s="276"/>
      <c r="R41" s="276"/>
      <c r="S41" s="276"/>
      <c r="T41" s="276"/>
      <c r="U41" s="276"/>
      <c r="V41" s="276"/>
      <c r="W41" s="276"/>
      <c r="X41" s="279"/>
      <c r="Y41" s="276"/>
      <c r="Z41" s="276"/>
      <c r="AA41" s="276"/>
      <c r="AB41" s="191"/>
      <c r="AC41" s="454"/>
    </row>
    <row r="42" spans="1:29" s="7" customFormat="1" ht="33.75" customHeight="1">
      <c r="A42" s="468">
        <v>17</v>
      </c>
      <c r="B42" s="483"/>
      <c r="C42" s="13"/>
      <c r="D42" s="275" t="s">
        <v>177</v>
      </c>
      <c r="E42" s="222"/>
      <c r="F42" s="223"/>
      <c r="G42" s="223"/>
      <c r="H42" s="224"/>
      <c r="I42" s="224"/>
      <c r="J42" s="224"/>
      <c r="K42" s="224"/>
      <c r="L42" s="224"/>
      <c r="M42" s="224"/>
      <c r="N42" s="224"/>
      <c r="O42" s="224"/>
      <c r="P42" s="224"/>
      <c r="Q42" s="224"/>
      <c r="R42" s="224"/>
      <c r="S42" s="224"/>
      <c r="T42" s="224"/>
      <c r="U42" s="224"/>
      <c r="V42" s="224"/>
      <c r="W42" s="224"/>
      <c r="X42" s="224"/>
      <c r="Y42" s="224"/>
      <c r="Z42" s="224"/>
      <c r="AA42" s="224"/>
      <c r="AB42" s="195"/>
      <c r="AC42" s="453">
        <f t="shared" ref="AC42" si="12">SUM($E43:$G43)-SUM($I43:$AA43)+$AC40</f>
        <v>0</v>
      </c>
    </row>
    <row r="43" spans="1:29" s="7" customFormat="1" ht="33.75" customHeight="1" thickBot="1">
      <c r="A43" s="459"/>
      <c r="B43" s="482"/>
      <c r="C43" s="15"/>
      <c r="D43" s="274" t="s">
        <v>105</v>
      </c>
      <c r="E43" s="277"/>
      <c r="F43" s="278"/>
      <c r="G43" s="278"/>
      <c r="H43" s="276"/>
      <c r="I43" s="276"/>
      <c r="J43" s="276"/>
      <c r="K43" s="276"/>
      <c r="L43" s="276"/>
      <c r="M43" s="276"/>
      <c r="N43" s="276"/>
      <c r="O43" s="276"/>
      <c r="P43" s="276"/>
      <c r="Q43" s="276"/>
      <c r="R43" s="276"/>
      <c r="S43" s="276"/>
      <c r="T43" s="276"/>
      <c r="U43" s="276"/>
      <c r="V43" s="276"/>
      <c r="W43" s="276"/>
      <c r="X43" s="276"/>
      <c r="Y43" s="276"/>
      <c r="Z43" s="276"/>
      <c r="AA43" s="276"/>
      <c r="AB43" s="197"/>
      <c r="AC43" s="454"/>
    </row>
    <row r="44" spans="1:29" s="7" customFormat="1" ht="33.75" customHeight="1">
      <c r="A44" s="455">
        <v>18</v>
      </c>
      <c r="B44" s="481"/>
      <c r="C44" s="13"/>
      <c r="D44" s="273" t="s">
        <v>177</v>
      </c>
      <c r="E44" s="216"/>
      <c r="F44" s="217"/>
      <c r="G44" s="217"/>
      <c r="H44" s="218"/>
      <c r="I44" s="218"/>
      <c r="J44" s="218"/>
      <c r="K44" s="218"/>
      <c r="L44" s="218"/>
      <c r="M44" s="218"/>
      <c r="N44" s="218"/>
      <c r="O44" s="218"/>
      <c r="P44" s="218"/>
      <c r="Q44" s="218"/>
      <c r="R44" s="218"/>
      <c r="S44" s="218"/>
      <c r="T44" s="218"/>
      <c r="U44" s="218"/>
      <c r="V44" s="218"/>
      <c r="W44" s="218"/>
      <c r="X44" s="218"/>
      <c r="Y44" s="218"/>
      <c r="Z44" s="218"/>
      <c r="AA44" s="218"/>
      <c r="AB44" s="196"/>
      <c r="AC44" s="453">
        <f t="shared" ref="AC44" si="13">SUM($E45:$G45)-SUM($I45:$AA45)+$AC42</f>
        <v>0</v>
      </c>
    </row>
    <row r="45" spans="1:29" s="7" customFormat="1" ht="33.75" customHeight="1" thickBot="1">
      <c r="A45" s="459"/>
      <c r="B45" s="482"/>
      <c r="C45" s="15"/>
      <c r="D45" s="274" t="s">
        <v>105</v>
      </c>
      <c r="E45" s="277"/>
      <c r="F45" s="278"/>
      <c r="G45" s="278"/>
      <c r="H45" s="276"/>
      <c r="I45" s="276"/>
      <c r="J45" s="276"/>
      <c r="K45" s="276"/>
      <c r="L45" s="276"/>
      <c r="M45" s="276"/>
      <c r="N45" s="276"/>
      <c r="O45" s="276"/>
      <c r="P45" s="276"/>
      <c r="Q45" s="276"/>
      <c r="R45" s="276"/>
      <c r="S45" s="276"/>
      <c r="T45" s="276"/>
      <c r="U45" s="276"/>
      <c r="V45" s="276"/>
      <c r="W45" s="276"/>
      <c r="X45" s="276"/>
      <c r="Y45" s="276"/>
      <c r="Z45" s="276"/>
      <c r="AA45" s="276"/>
      <c r="AB45" s="197"/>
      <c r="AC45" s="454"/>
    </row>
    <row r="46" spans="1:29" s="7" customFormat="1" ht="33.75" customHeight="1">
      <c r="A46" s="455">
        <v>19</v>
      </c>
      <c r="B46" s="481"/>
      <c r="C46" s="13"/>
      <c r="D46" s="273" t="s">
        <v>177</v>
      </c>
      <c r="E46" s="216"/>
      <c r="F46" s="217"/>
      <c r="G46" s="217"/>
      <c r="H46" s="218"/>
      <c r="I46" s="218"/>
      <c r="J46" s="218"/>
      <c r="K46" s="218"/>
      <c r="L46" s="218"/>
      <c r="M46" s="218"/>
      <c r="N46" s="218"/>
      <c r="O46" s="218"/>
      <c r="P46" s="218"/>
      <c r="Q46" s="218"/>
      <c r="R46" s="218"/>
      <c r="S46" s="218"/>
      <c r="T46" s="218"/>
      <c r="U46" s="218"/>
      <c r="V46" s="218"/>
      <c r="W46" s="218"/>
      <c r="X46" s="218"/>
      <c r="Y46" s="218"/>
      <c r="Z46" s="218"/>
      <c r="AA46" s="218"/>
      <c r="AB46" s="196"/>
      <c r="AC46" s="453">
        <f t="shared" ref="AC46" si="14">SUM($E47:$G47)-SUM($I47:$AA47)+$AC44</f>
        <v>0</v>
      </c>
    </row>
    <row r="47" spans="1:29" s="7" customFormat="1" ht="33.75" customHeight="1" thickBot="1">
      <c r="A47" s="459"/>
      <c r="B47" s="482"/>
      <c r="C47" s="15"/>
      <c r="D47" s="274" t="s">
        <v>105</v>
      </c>
      <c r="E47" s="277"/>
      <c r="F47" s="278"/>
      <c r="G47" s="278"/>
      <c r="H47" s="276"/>
      <c r="I47" s="276"/>
      <c r="J47" s="276"/>
      <c r="K47" s="276"/>
      <c r="L47" s="276"/>
      <c r="M47" s="276"/>
      <c r="N47" s="276"/>
      <c r="O47" s="276"/>
      <c r="P47" s="276"/>
      <c r="Q47" s="276"/>
      <c r="R47" s="276"/>
      <c r="S47" s="276"/>
      <c r="T47" s="276"/>
      <c r="U47" s="276"/>
      <c r="V47" s="276"/>
      <c r="W47" s="276"/>
      <c r="X47" s="276"/>
      <c r="Y47" s="276"/>
      <c r="Z47" s="276"/>
      <c r="AA47" s="276"/>
      <c r="AB47" s="197"/>
      <c r="AC47" s="454"/>
    </row>
    <row r="48" spans="1:29" s="7" customFormat="1" ht="33.75" customHeight="1">
      <c r="A48" s="455">
        <v>20</v>
      </c>
      <c r="B48" s="481"/>
      <c r="C48" s="13"/>
      <c r="D48" s="273" t="s">
        <v>177</v>
      </c>
      <c r="E48" s="216"/>
      <c r="F48" s="217"/>
      <c r="G48" s="217"/>
      <c r="H48" s="218"/>
      <c r="I48" s="218"/>
      <c r="J48" s="218"/>
      <c r="K48" s="218"/>
      <c r="L48" s="218"/>
      <c r="M48" s="218"/>
      <c r="N48" s="218"/>
      <c r="O48" s="218"/>
      <c r="P48" s="218"/>
      <c r="Q48" s="218"/>
      <c r="R48" s="218"/>
      <c r="S48" s="218"/>
      <c r="T48" s="218"/>
      <c r="U48" s="218"/>
      <c r="V48" s="218"/>
      <c r="W48" s="218"/>
      <c r="X48" s="218"/>
      <c r="Y48" s="218"/>
      <c r="Z48" s="218"/>
      <c r="AA48" s="218"/>
      <c r="AB48" s="196"/>
      <c r="AC48" s="453">
        <f t="shared" ref="AC48" si="15">SUM($E49:$G49)-SUM($I49:$AA49)+$AC46</f>
        <v>0</v>
      </c>
    </row>
    <row r="49" spans="1:29" s="7" customFormat="1" ht="33.75" customHeight="1" thickBot="1">
      <c r="A49" s="459"/>
      <c r="B49" s="482"/>
      <c r="C49" s="15"/>
      <c r="D49" s="274" t="s">
        <v>105</v>
      </c>
      <c r="E49" s="277"/>
      <c r="F49" s="278"/>
      <c r="G49" s="278"/>
      <c r="H49" s="276"/>
      <c r="I49" s="276"/>
      <c r="J49" s="276"/>
      <c r="K49" s="276"/>
      <c r="L49" s="276"/>
      <c r="M49" s="276"/>
      <c r="N49" s="276"/>
      <c r="O49" s="276"/>
      <c r="P49" s="276"/>
      <c r="Q49" s="276"/>
      <c r="R49" s="276"/>
      <c r="S49" s="276"/>
      <c r="T49" s="276"/>
      <c r="U49" s="276"/>
      <c r="V49" s="276"/>
      <c r="W49" s="276"/>
      <c r="X49" s="276"/>
      <c r="Y49" s="276"/>
      <c r="Z49" s="276"/>
      <c r="AA49" s="276"/>
      <c r="AB49" s="197"/>
      <c r="AC49" s="454"/>
    </row>
    <row r="50" spans="1:29" s="7" customFormat="1" ht="33.75" customHeight="1">
      <c r="A50" s="455">
        <v>21</v>
      </c>
      <c r="B50" s="481"/>
      <c r="C50" s="13"/>
      <c r="D50" s="273" t="s">
        <v>177</v>
      </c>
      <c r="E50" s="216"/>
      <c r="F50" s="217"/>
      <c r="G50" s="217"/>
      <c r="H50" s="218"/>
      <c r="I50" s="218"/>
      <c r="J50" s="218"/>
      <c r="K50" s="218"/>
      <c r="L50" s="218"/>
      <c r="M50" s="218"/>
      <c r="N50" s="218"/>
      <c r="O50" s="218"/>
      <c r="P50" s="218"/>
      <c r="Q50" s="218"/>
      <c r="R50" s="218"/>
      <c r="S50" s="218"/>
      <c r="T50" s="218"/>
      <c r="U50" s="218"/>
      <c r="V50" s="218"/>
      <c r="W50" s="218"/>
      <c r="X50" s="218"/>
      <c r="Y50" s="218"/>
      <c r="Z50" s="218"/>
      <c r="AA50" s="218"/>
      <c r="AB50" s="196"/>
      <c r="AC50" s="453">
        <f t="shared" ref="AC50" si="16">SUM($E51:$G51)-SUM($I51:$AA51)+$AC48</f>
        <v>0</v>
      </c>
    </row>
    <row r="51" spans="1:29" s="7" customFormat="1" ht="33.75" customHeight="1" thickBot="1">
      <c r="A51" s="459"/>
      <c r="B51" s="482"/>
      <c r="C51" s="15"/>
      <c r="D51" s="274" t="s">
        <v>105</v>
      </c>
      <c r="E51" s="277"/>
      <c r="F51" s="278"/>
      <c r="G51" s="278"/>
      <c r="H51" s="276"/>
      <c r="I51" s="276"/>
      <c r="J51" s="276"/>
      <c r="K51" s="276"/>
      <c r="L51" s="276"/>
      <c r="M51" s="276"/>
      <c r="N51" s="276"/>
      <c r="O51" s="276"/>
      <c r="P51" s="276"/>
      <c r="Q51" s="276"/>
      <c r="R51" s="276"/>
      <c r="S51" s="276"/>
      <c r="T51" s="276"/>
      <c r="U51" s="276"/>
      <c r="V51" s="276"/>
      <c r="W51" s="276"/>
      <c r="X51" s="276"/>
      <c r="Y51" s="276"/>
      <c r="Z51" s="276"/>
      <c r="AA51" s="276"/>
      <c r="AB51" s="197"/>
      <c r="AC51" s="454"/>
    </row>
    <row r="52" spans="1:29" s="7" customFormat="1" ht="33.75" customHeight="1">
      <c r="A52" s="455">
        <v>22</v>
      </c>
      <c r="B52" s="481"/>
      <c r="C52" s="13"/>
      <c r="D52" s="273" t="s">
        <v>177</v>
      </c>
      <c r="E52" s="216"/>
      <c r="F52" s="217"/>
      <c r="G52" s="217"/>
      <c r="H52" s="218"/>
      <c r="I52" s="218"/>
      <c r="J52" s="218"/>
      <c r="K52" s="218"/>
      <c r="L52" s="218"/>
      <c r="M52" s="218"/>
      <c r="N52" s="218"/>
      <c r="O52" s="218"/>
      <c r="P52" s="218"/>
      <c r="Q52" s="218"/>
      <c r="R52" s="218"/>
      <c r="S52" s="218"/>
      <c r="T52" s="218"/>
      <c r="U52" s="218"/>
      <c r="V52" s="218"/>
      <c r="W52" s="218"/>
      <c r="X52" s="218"/>
      <c r="Y52" s="218"/>
      <c r="Z52" s="218"/>
      <c r="AA52" s="218"/>
      <c r="AB52" s="196"/>
      <c r="AC52" s="453">
        <f t="shared" ref="AC52" si="17">SUM($E53:$G53)-SUM($I53:$AA53)+$AC50</f>
        <v>0</v>
      </c>
    </row>
    <row r="53" spans="1:29" s="7" customFormat="1" ht="33.75" customHeight="1" thickBot="1">
      <c r="A53" s="459"/>
      <c r="B53" s="482"/>
      <c r="C53" s="15"/>
      <c r="D53" s="274" t="s">
        <v>105</v>
      </c>
      <c r="E53" s="277"/>
      <c r="F53" s="278"/>
      <c r="G53" s="278"/>
      <c r="H53" s="276"/>
      <c r="I53" s="276"/>
      <c r="J53" s="276"/>
      <c r="K53" s="276"/>
      <c r="L53" s="276"/>
      <c r="M53" s="276"/>
      <c r="N53" s="276"/>
      <c r="O53" s="276"/>
      <c r="P53" s="276"/>
      <c r="Q53" s="276"/>
      <c r="R53" s="276"/>
      <c r="S53" s="276"/>
      <c r="T53" s="276"/>
      <c r="U53" s="276"/>
      <c r="V53" s="276"/>
      <c r="W53" s="276"/>
      <c r="X53" s="276"/>
      <c r="Y53" s="276"/>
      <c r="Z53" s="276"/>
      <c r="AA53" s="276"/>
      <c r="AB53" s="197"/>
      <c r="AC53" s="454"/>
    </row>
    <row r="54" spans="1:29" s="7" customFormat="1" ht="33.75" customHeight="1">
      <c r="A54" s="455">
        <v>23</v>
      </c>
      <c r="B54" s="481"/>
      <c r="C54" s="13"/>
      <c r="D54" s="273" t="s">
        <v>177</v>
      </c>
      <c r="E54" s="216"/>
      <c r="F54" s="217"/>
      <c r="G54" s="217"/>
      <c r="H54" s="218"/>
      <c r="I54" s="218"/>
      <c r="J54" s="218"/>
      <c r="K54" s="218"/>
      <c r="L54" s="218"/>
      <c r="M54" s="218"/>
      <c r="N54" s="218"/>
      <c r="O54" s="218"/>
      <c r="P54" s="218"/>
      <c r="Q54" s="218"/>
      <c r="R54" s="218"/>
      <c r="S54" s="218"/>
      <c r="T54" s="218"/>
      <c r="U54" s="218"/>
      <c r="V54" s="218"/>
      <c r="W54" s="218"/>
      <c r="X54" s="218"/>
      <c r="Y54" s="218"/>
      <c r="Z54" s="218"/>
      <c r="AA54" s="218"/>
      <c r="AB54" s="196"/>
      <c r="AC54" s="453">
        <f t="shared" ref="AC54" si="18">SUM($E55:$G55)-SUM($I55:$AA55)+$AC52</f>
        <v>0</v>
      </c>
    </row>
    <row r="55" spans="1:29" s="7" customFormat="1" ht="33.75" customHeight="1" thickBot="1">
      <c r="A55" s="459"/>
      <c r="B55" s="482"/>
      <c r="C55" s="15"/>
      <c r="D55" s="274" t="s">
        <v>105</v>
      </c>
      <c r="E55" s="277"/>
      <c r="F55" s="278"/>
      <c r="G55" s="278"/>
      <c r="H55" s="276"/>
      <c r="I55" s="276"/>
      <c r="J55" s="276"/>
      <c r="K55" s="276"/>
      <c r="L55" s="276"/>
      <c r="M55" s="276"/>
      <c r="N55" s="276"/>
      <c r="O55" s="276"/>
      <c r="P55" s="276"/>
      <c r="Q55" s="276"/>
      <c r="R55" s="276"/>
      <c r="S55" s="276"/>
      <c r="T55" s="276"/>
      <c r="U55" s="276"/>
      <c r="V55" s="276"/>
      <c r="W55" s="276"/>
      <c r="X55" s="276"/>
      <c r="Y55" s="276"/>
      <c r="Z55" s="276"/>
      <c r="AA55" s="276"/>
      <c r="AB55" s="197"/>
      <c r="AC55" s="454"/>
    </row>
    <row r="56" spans="1:29" s="7" customFormat="1" ht="33.75" customHeight="1">
      <c r="A56" s="455">
        <v>24</v>
      </c>
      <c r="B56" s="481"/>
      <c r="C56" s="13"/>
      <c r="D56" s="273" t="s">
        <v>177</v>
      </c>
      <c r="E56" s="216"/>
      <c r="F56" s="217"/>
      <c r="G56" s="217"/>
      <c r="H56" s="218"/>
      <c r="I56" s="218"/>
      <c r="J56" s="218"/>
      <c r="K56" s="218"/>
      <c r="L56" s="218"/>
      <c r="M56" s="218"/>
      <c r="N56" s="218"/>
      <c r="O56" s="218"/>
      <c r="P56" s="218"/>
      <c r="Q56" s="218"/>
      <c r="R56" s="218"/>
      <c r="S56" s="218"/>
      <c r="T56" s="218"/>
      <c r="U56" s="218"/>
      <c r="V56" s="218"/>
      <c r="W56" s="218"/>
      <c r="X56" s="218"/>
      <c r="Y56" s="218"/>
      <c r="Z56" s="218"/>
      <c r="AA56" s="218"/>
      <c r="AB56" s="196"/>
      <c r="AC56" s="453">
        <f t="shared" ref="AC56" si="19">SUM($E57:$G57)-SUM($I57:$AA57)+$AC54</f>
        <v>0</v>
      </c>
    </row>
    <row r="57" spans="1:29" s="7" customFormat="1" ht="33.75" customHeight="1" thickBot="1">
      <c r="A57" s="459"/>
      <c r="B57" s="482"/>
      <c r="C57" s="15"/>
      <c r="D57" s="274" t="s">
        <v>105</v>
      </c>
      <c r="E57" s="277"/>
      <c r="F57" s="278"/>
      <c r="G57" s="278"/>
      <c r="H57" s="276"/>
      <c r="I57" s="276"/>
      <c r="J57" s="276"/>
      <c r="K57" s="276"/>
      <c r="L57" s="276"/>
      <c r="M57" s="276"/>
      <c r="N57" s="276"/>
      <c r="O57" s="276"/>
      <c r="P57" s="276"/>
      <c r="Q57" s="276"/>
      <c r="R57" s="276"/>
      <c r="S57" s="276"/>
      <c r="T57" s="276"/>
      <c r="U57" s="276"/>
      <c r="V57" s="276"/>
      <c r="W57" s="276"/>
      <c r="X57" s="276"/>
      <c r="Y57" s="276"/>
      <c r="Z57" s="276"/>
      <c r="AA57" s="276"/>
      <c r="AB57" s="197"/>
      <c r="AC57" s="454"/>
    </row>
    <row r="58" spans="1:29" s="7" customFormat="1" ht="33.75" customHeight="1">
      <c r="A58" s="455">
        <v>25</v>
      </c>
      <c r="B58" s="481"/>
      <c r="C58" s="13"/>
      <c r="D58" s="273" t="s">
        <v>177</v>
      </c>
      <c r="E58" s="216"/>
      <c r="F58" s="217"/>
      <c r="G58" s="217"/>
      <c r="H58" s="218"/>
      <c r="I58" s="218"/>
      <c r="J58" s="218"/>
      <c r="K58" s="218"/>
      <c r="L58" s="218"/>
      <c r="M58" s="218"/>
      <c r="N58" s="218"/>
      <c r="O58" s="218"/>
      <c r="P58" s="218"/>
      <c r="Q58" s="218"/>
      <c r="R58" s="218"/>
      <c r="S58" s="218"/>
      <c r="T58" s="218"/>
      <c r="U58" s="218"/>
      <c r="V58" s="218"/>
      <c r="W58" s="218"/>
      <c r="X58" s="218"/>
      <c r="Y58" s="218"/>
      <c r="Z58" s="218"/>
      <c r="AA58" s="218"/>
      <c r="AB58" s="196"/>
      <c r="AC58" s="453">
        <f t="shared" ref="AC58" si="20">SUM($E59:$G59)-SUM($I59:$AA59)+$AC56</f>
        <v>0</v>
      </c>
    </row>
    <row r="59" spans="1:29" s="7" customFormat="1" ht="33.75" customHeight="1" thickBot="1">
      <c r="A59" s="459"/>
      <c r="B59" s="482"/>
      <c r="C59" s="15"/>
      <c r="D59" s="274" t="s">
        <v>105</v>
      </c>
      <c r="E59" s="277"/>
      <c r="F59" s="278"/>
      <c r="G59" s="278"/>
      <c r="H59" s="276"/>
      <c r="I59" s="276"/>
      <c r="J59" s="276"/>
      <c r="K59" s="276"/>
      <c r="L59" s="276"/>
      <c r="M59" s="276"/>
      <c r="N59" s="276"/>
      <c r="O59" s="276"/>
      <c r="P59" s="276"/>
      <c r="Q59" s="276"/>
      <c r="R59" s="276"/>
      <c r="S59" s="276"/>
      <c r="T59" s="276"/>
      <c r="U59" s="276"/>
      <c r="V59" s="276"/>
      <c r="W59" s="276"/>
      <c r="X59" s="276"/>
      <c r="Y59" s="276"/>
      <c r="Z59" s="276"/>
      <c r="AA59" s="276"/>
      <c r="AB59" s="197"/>
      <c r="AC59" s="454"/>
    </row>
    <row r="60" spans="1:29" s="7" customFormat="1" ht="33.75" customHeight="1">
      <c r="A60" s="455">
        <v>26</v>
      </c>
      <c r="B60" s="481"/>
      <c r="C60" s="13"/>
      <c r="D60" s="273" t="s">
        <v>177</v>
      </c>
      <c r="E60" s="216"/>
      <c r="F60" s="217"/>
      <c r="G60" s="217"/>
      <c r="H60" s="218"/>
      <c r="I60" s="218"/>
      <c r="J60" s="218"/>
      <c r="K60" s="218"/>
      <c r="L60" s="218"/>
      <c r="M60" s="218"/>
      <c r="N60" s="218"/>
      <c r="O60" s="218"/>
      <c r="P60" s="218"/>
      <c r="Q60" s="218"/>
      <c r="R60" s="218"/>
      <c r="S60" s="218"/>
      <c r="T60" s="218"/>
      <c r="U60" s="218"/>
      <c r="V60" s="218"/>
      <c r="W60" s="218"/>
      <c r="X60" s="218"/>
      <c r="Y60" s="218"/>
      <c r="Z60" s="218"/>
      <c r="AA60" s="218"/>
      <c r="AB60" s="196"/>
      <c r="AC60" s="453">
        <f t="shared" ref="AC60" si="21">SUM($E61:$G61)-SUM($I61:$AA61)+$AC58</f>
        <v>0</v>
      </c>
    </row>
    <row r="61" spans="1:29" s="7" customFormat="1" ht="33.75" customHeight="1" thickBot="1">
      <c r="A61" s="459"/>
      <c r="B61" s="482"/>
      <c r="C61" s="15"/>
      <c r="D61" s="274" t="s">
        <v>105</v>
      </c>
      <c r="E61" s="277"/>
      <c r="F61" s="278"/>
      <c r="G61" s="278"/>
      <c r="H61" s="220"/>
      <c r="I61" s="276"/>
      <c r="J61" s="276"/>
      <c r="K61" s="276"/>
      <c r="L61" s="276"/>
      <c r="M61" s="276"/>
      <c r="N61" s="276"/>
      <c r="O61" s="276"/>
      <c r="P61" s="276"/>
      <c r="Q61" s="276"/>
      <c r="R61" s="276"/>
      <c r="S61" s="276"/>
      <c r="T61" s="276"/>
      <c r="U61" s="276"/>
      <c r="V61" s="276"/>
      <c r="W61" s="276"/>
      <c r="X61" s="276"/>
      <c r="Y61" s="276"/>
      <c r="Z61" s="276"/>
      <c r="AA61" s="276"/>
      <c r="AB61" s="197"/>
      <c r="AC61" s="454"/>
    </row>
    <row r="62" spans="1:29" s="7" customFormat="1" ht="33.75" customHeight="1">
      <c r="A62" s="455">
        <v>27</v>
      </c>
      <c r="B62" s="481"/>
      <c r="C62" s="13"/>
      <c r="D62" s="273" t="s">
        <v>177</v>
      </c>
      <c r="E62" s="216"/>
      <c r="F62" s="217"/>
      <c r="G62" s="217"/>
      <c r="H62" s="218"/>
      <c r="I62" s="218"/>
      <c r="J62" s="218"/>
      <c r="K62" s="218"/>
      <c r="L62" s="218"/>
      <c r="M62" s="218"/>
      <c r="N62" s="218"/>
      <c r="O62" s="218"/>
      <c r="P62" s="218"/>
      <c r="Q62" s="218"/>
      <c r="R62" s="218"/>
      <c r="S62" s="218"/>
      <c r="T62" s="218"/>
      <c r="U62" s="218"/>
      <c r="V62" s="218"/>
      <c r="W62" s="218"/>
      <c r="X62" s="218"/>
      <c r="Y62" s="218"/>
      <c r="Z62" s="218"/>
      <c r="AA62" s="218"/>
      <c r="AB62" s="196"/>
      <c r="AC62" s="453">
        <f t="shared" ref="AC62" si="22">SUM($E63:$G63)-SUM($I63:$AA63)+$AC60</f>
        <v>0</v>
      </c>
    </row>
    <row r="63" spans="1:29" s="7" customFormat="1" ht="33.75" customHeight="1" thickBot="1">
      <c r="A63" s="459"/>
      <c r="B63" s="482"/>
      <c r="C63" s="15"/>
      <c r="D63" s="274" t="s">
        <v>105</v>
      </c>
      <c r="E63" s="277"/>
      <c r="F63" s="278"/>
      <c r="G63" s="278"/>
      <c r="H63" s="276"/>
      <c r="I63" s="276"/>
      <c r="J63" s="276"/>
      <c r="K63" s="276"/>
      <c r="L63" s="276"/>
      <c r="M63" s="276"/>
      <c r="N63" s="276"/>
      <c r="O63" s="276"/>
      <c r="P63" s="276"/>
      <c r="Q63" s="276"/>
      <c r="R63" s="276"/>
      <c r="S63" s="276"/>
      <c r="T63" s="276"/>
      <c r="U63" s="276"/>
      <c r="V63" s="276"/>
      <c r="W63" s="276"/>
      <c r="X63" s="276"/>
      <c r="Y63" s="276"/>
      <c r="Z63" s="276"/>
      <c r="AA63" s="276"/>
      <c r="AB63" s="197"/>
      <c r="AC63" s="454"/>
    </row>
    <row r="64" spans="1:29" s="7" customFormat="1" ht="33.75" customHeight="1">
      <c r="A64" s="455">
        <v>28</v>
      </c>
      <c r="B64" s="481"/>
      <c r="C64" s="13"/>
      <c r="D64" s="273" t="s">
        <v>177</v>
      </c>
      <c r="E64" s="216"/>
      <c r="F64" s="217"/>
      <c r="G64" s="217"/>
      <c r="H64" s="218"/>
      <c r="I64" s="218"/>
      <c r="J64" s="218"/>
      <c r="K64" s="218"/>
      <c r="L64" s="218"/>
      <c r="M64" s="218"/>
      <c r="N64" s="218"/>
      <c r="O64" s="218"/>
      <c r="P64" s="218"/>
      <c r="Q64" s="218"/>
      <c r="R64" s="218"/>
      <c r="S64" s="218"/>
      <c r="T64" s="218"/>
      <c r="U64" s="218"/>
      <c r="V64" s="218"/>
      <c r="W64" s="218"/>
      <c r="X64" s="218"/>
      <c r="Y64" s="218"/>
      <c r="Z64" s="218"/>
      <c r="AA64" s="218"/>
      <c r="AB64" s="196"/>
      <c r="AC64" s="453">
        <f t="shared" ref="AC64" si="23">SUM($E65:$G65)-SUM($I65:$AA65)+$AC62</f>
        <v>0</v>
      </c>
    </row>
    <row r="65" spans="1:29" s="7" customFormat="1" ht="33.75" customHeight="1" thickBot="1">
      <c r="A65" s="459"/>
      <c r="B65" s="482"/>
      <c r="C65" s="15"/>
      <c r="D65" s="274" t="s">
        <v>105</v>
      </c>
      <c r="E65" s="277"/>
      <c r="F65" s="278"/>
      <c r="G65" s="278"/>
      <c r="H65" s="276"/>
      <c r="I65" s="276"/>
      <c r="J65" s="276"/>
      <c r="K65" s="276"/>
      <c r="L65" s="276"/>
      <c r="M65" s="276"/>
      <c r="N65" s="276"/>
      <c r="O65" s="276"/>
      <c r="P65" s="276"/>
      <c r="Q65" s="276"/>
      <c r="R65" s="276"/>
      <c r="S65" s="276"/>
      <c r="T65" s="276"/>
      <c r="U65" s="276"/>
      <c r="V65" s="276"/>
      <c r="W65" s="276"/>
      <c r="X65" s="276"/>
      <c r="Y65" s="276"/>
      <c r="Z65" s="276"/>
      <c r="AA65" s="276"/>
      <c r="AB65" s="197"/>
      <c r="AC65" s="454"/>
    </row>
    <row r="66" spans="1:29" s="7" customFormat="1" ht="33.75" customHeight="1">
      <c r="A66" s="455">
        <v>29</v>
      </c>
      <c r="B66" s="481"/>
      <c r="C66" s="13"/>
      <c r="D66" s="273" t="s">
        <v>177</v>
      </c>
      <c r="E66" s="216"/>
      <c r="F66" s="217"/>
      <c r="G66" s="217"/>
      <c r="H66" s="218"/>
      <c r="I66" s="218"/>
      <c r="J66" s="218"/>
      <c r="K66" s="218"/>
      <c r="L66" s="218"/>
      <c r="M66" s="218"/>
      <c r="N66" s="218"/>
      <c r="O66" s="218"/>
      <c r="P66" s="218"/>
      <c r="Q66" s="218"/>
      <c r="R66" s="218"/>
      <c r="S66" s="218"/>
      <c r="T66" s="218"/>
      <c r="U66" s="218"/>
      <c r="V66" s="218"/>
      <c r="W66" s="218"/>
      <c r="X66" s="218"/>
      <c r="Y66" s="218"/>
      <c r="Z66" s="218"/>
      <c r="AA66" s="218"/>
      <c r="AB66" s="196"/>
      <c r="AC66" s="453">
        <f t="shared" ref="AC66" si="24">SUM($E67:$G67)-SUM($I67:$AA67)+$AC64</f>
        <v>0</v>
      </c>
    </row>
    <row r="67" spans="1:29" s="7" customFormat="1" ht="33.75" customHeight="1" thickBot="1">
      <c r="A67" s="459"/>
      <c r="B67" s="482"/>
      <c r="C67" s="15"/>
      <c r="D67" s="274" t="s">
        <v>105</v>
      </c>
      <c r="E67" s="277"/>
      <c r="F67" s="278"/>
      <c r="G67" s="278"/>
      <c r="H67" s="276"/>
      <c r="I67" s="276"/>
      <c r="J67" s="276"/>
      <c r="K67" s="276"/>
      <c r="L67" s="276"/>
      <c r="M67" s="276"/>
      <c r="N67" s="276"/>
      <c r="O67" s="276"/>
      <c r="P67" s="276"/>
      <c r="Q67" s="276"/>
      <c r="R67" s="276"/>
      <c r="S67" s="276"/>
      <c r="T67" s="276"/>
      <c r="U67" s="276"/>
      <c r="V67" s="276"/>
      <c r="W67" s="276"/>
      <c r="X67" s="276"/>
      <c r="Y67" s="276"/>
      <c r="Z67" s="276"/>
      <c r="AA67" s="276"/>
      <c r="AB67" s="197"/>
      <c r="AC67" s="454"/>
    </row>
    <row r="68" spans="1:29" s="7" customFormat="1" ht="33.75" customHeight="1">
      <c r="A68" s="455">
        <v>30</v>
      </c>
      <c r="B68" s="481"/>
      <c r="C68" s="13"/>
      <c r="D68" s="273" t="s">
        <v>177</v>
      </c>
      <c r="E68" s="216"/>
      <c r="F68" s="217"/>
      <c r="G68" s="217"/>
      <c r="H68" s="218"/>
      <c r="I68" s="218"/>
      <c r="J68" s="218"/>
      <c r="K68" s="218"/>
      <c r="L68" s="218"/>
      <c r="M68" s="218"/>
      <c r="N68" s="218"/>
      <c r="O68" s="218"/>
      <c r="P68" s="218"/>
      <c r="Q68" s="218"/>
      <c r="R68" s="218"/>
      <c r="S68" s="218"/>
      <c r="T68" s="218"/>
      <c r="U68" s="218"/>
      <c r="V68" s="218"/>
      <c r="W68" s="218"/>
      <c r="X68" s="218"/>
      <c r="Y68" s="218"/>
      <c r="Z68" s="218"/>
      <c r="AA68" s="218"/>
      <c r="AB68" s="196"/>
      <c r="AC68" s="453">
        <f t="shared" ref="AC68" si="25">SUM($E69:$G69)-SUM($I69:$AA69)+$AC66</f>
        <v>0</v>
      </c>
    </row>
    <row r="69" spans="1:29" s="7" customFormat="1" ht="33.75" customHeight="1" thickBot="1">
      <c r="A69" s="459"/>
      <c r="B69" s="482"/>
      <c r="C69" s="15"/>
      <c r="D69" s="274" t="s">
        <v>105</v>
      </c>
      <c r="E69" s="277"/>
      <c r="F69" s="278"/>
      <c r="G69" s="278"/>
      <c r="H69" s="276"/>
      <c r="I69" s="276"/>
      <c r="J69" s="276"/>
      <c r="K69" s="276"/>
      <c r="L69" s="276"/>
      <c r="M69" s="276"/>
      <c r="N69" s="276"/>
      <c r="O69" s="276"/>
      <c r="P69" s="276"/>
      <c r="Q69" s="276"/>
      <c r="R69" s="276"/>
      <c r="S69" s="276"/>
      <c r="T69" s="276"/>
      <c r="U69" s="276"/>
      <c r="V69" s="276"/>
      <c r="W69" s="276"/>
      <c r="X69" s="276"/>
      <c r="Y69" s="276"/>
      <c r="Z69" s="276"/>
      <c r="AA69" s="276"/>
      <c r="AB69" s="197"/>
      <c r="AC69" s="454"/>
    </row>
    <row r="70" spans="1:29" ht="46.5" customHeight="1">
      <c r="A70" s="469" t="s">
        <v>331</v>
      </c>
      <c r="B70" s="488"/>
      <c r="C70" s="470"/>
      <c r="D70" s="471"/>
      <c r="E70" s="287">
        <f>SUM(E$10:E$69)</f>
        <v>0</v>
      </c>
      <c r="F70" s="287">
        <f>SUM(F$10:F$69)</f>
        <v>0</v>
      </c>
      <c r="G70" s="287">
        <f>SUM(G$10:G$69)</f>
        <v>0</v>
      </c>
      <c r="H70" s="287">
        <f>SUMIF($D$10:$D$41,$D70,H$10:H$41)</f>
        <v>0</v>
      </c>
      <c r="I70" s="287">
        <f t="shared" ref="I70:AA70" si="26">SUM(I$10:I$69)</f>
        <v>0</v>
      </c>
      <c r="J70" s="287">
        <f t="shared" si="26"/>
        <v>0</v>
      </c>
      <c r="K70" s="287">
        <f t="shared" si="26"/>
        <v>0</v>
      </c>
      <c r="L70" s="287">
        <f t="shared" si="26"/>
        <v>0</v>
      </c>
      <c r="M70" s="287">
        <f t="shared" si="26"/>
        <v>0</v>
      </c>
      <c r="N70" s="287">
        <f t="shared" si="26"/>
        <v>0</v>
      </c>
      <c r="O70" s="287">
        <f t="shared" si="26"/>
        <v>0</v>
      </c>
      <c r="P70" s="287">
        <f t="shared" si="26"/>
        <v>0</v>
      </c>
      <c r="Q70" s="287">
        <f t="shared" si="26"/>
        <v>0</v>
      </c>
      <c r="R70" s="287">
        <f t="shared" si="26"/>
        <v>0</v>
      </c>
      <c r="S70" s="287">
        <f t="shared" si="26"/>
        <v>0</v>
      </c>
      <c r="T70" s="287">
        <f t="shared" si="26"/>
        <v>0</v>
      </c>
      <c r="U70" s="287">
        <f t="shared" si="26"/>
        <v>0</v>
      </c>
      <c r="V70" s="287">
        <f t="shared" si="26"/>
        <v>0</v>
      </c>
      <c r="W70" s="287">
        <f t="shared" si="26"/>
        <v>0</v>
      </c>
      <c r="X70" s="287">
        <f t="shared" si="26"/>
        <v>0</v>
      </c>
      <c r="Y70" s="287">
        <f t="shared" si="26"/>
        <v>0</v>
      </c>
      <c r="Z70" s="287">
        <f t="shared" si="26"/>
        <v>0</v>
      </c>
      <c r="AA70" s="287">
        <f t="shared" si="26"/>
        <v>0</v>
      </c>
      <c r="AB70" s="197">
        <f>SUMIF($D$10:$D$41,$D70,AB$10:AB$41)</f>
        <v>0</v>
      </c>
      <c r="AC70" s="193"/>
    </row>
    <row r="71" spans="1:29" ht="33.75" customHeight="1">
      <c r="B71" s="272" t="s">
        <v>330</v>
      </c>
      <c r="E71" s="288"/>
      <c r="F71" s="288"/>
      <c r="G71" s="288"/>
      <c r="H71" s="288"/>
      <c r="I71" s="288"/>
      <c r="J71" s="288"/>
      <c r="K71" s="288"/>
      <c r="L71" s="288"/>
      <c r="M71" s="288"/>
      <c r="N71" s="288"/>
      <c r="O71" s="288"/>
      <c r="P71" s="288"/>
      <c r="Q71" s="288"/>
      <c r="R71" s="288"/>
      <c r="S71" s="288"/>
      <c r="T71" s="288"/>
      <c r="U71" s="288"/>
      <c r="V71" s="288"/>
      <c r="W71" s="289"/>
      <c r="X71" s="289"/>
      <c r="Y71" s="288"/>
      <c r="Z71" s="288"/>
      <c r="AA71" s="288"/>
    </row>
  </sheetData>
  <sheetProtection sheet="1" objects="1" scenarios="1" selectLockedCells="1"/>
  <mergeCells count="133">
    <mergeCell ref="E5:G5"/>
    <mergeCell ref="I5:AA5"/>
    <mergeCell ref="E6:E7"/>
    <mergeCell ref="F6:F9"/>
    <mergeCell ref="G6:G7"/>
    <mergeCell ref="H6:H9"/>
    <mergeCell ref="A2:A9"/>
    <mergeCell ref="B2:B4"/>
    <mergeCell ref="C2:C4"/>
    <mergeCell ref="D2:G4"/>
    <mergeCell ref="H2:H4"/>
    <mergeCell ref="I2:AA4"/>
    <mergeCell ref="B6:B9"/>
    <mergeCell ref="C6:C9"/>
    <mergeCell ref="D6:D9"/>
    <mergeCell ref="J6:J9"/>
    <mergeCell ref="V6:V9"/>
    <mergeCell ref="K6:K9"/>
    <mergeCell ref="L6:L9"/>
    <mergeCell ref="M6:M9"/>
    <mergeCell ref="N6:N9"/>
    <mergeCell ref="O6:O9"/>
    <mergeCell ref="P6:P9"/>
    <mergeCell ref="R6:R9"/>
    <mergeCell ref="AB2:AB3"/>
    <mergeCell ref="AC2:AC3"/>
    <mergeCell ref="AB4:AB6"/>
    <mergeCell ref="AC4:AC6"/>
    <mergeCell ref="A12:A13"/>
    <mergeCell ref="B12:B13"/>
    <mergeCell ref="AC12:AC13"/>
    <mergeCell ref="A14:A15"/>
    <mergeCell ref="B14:B15"/>
    <mergeCell ref="AC14:AC15"/>
    <mergeCell ref="AB7:AB9"/>
    <mergeCell ref="AC7:AC9"/>
    <mergeCell ref="E8:E9"/>
    <mergeCell ref="G8:G9"/>
    <mergeCell ref="A10:A11"/>
    <mergeCell ref="B10:B11"/>
    <mergeCell ref="AC10:AC11"/>
    <mergeCell ref="W6:W9"/>
    <mergeCell ref="X6:X9"/>
    <mergeCell ref="Y6:Y9"/>
    <mergeCell ref="Z6:Z9"/>
    <mergeCell ref="I7:I8"/>
    <mergeCell ref="AA7:AA8"/>
    <mergeCell ref="Q6:Q9"/>
    <mergeCell ref="S6:S9"/>
    <mergeCell ref="T6:T9"/>
    <mergeCell ref="U6:U9"/>
    <mergeCell ref="A20:A21"/>
    <mergeCell ref="B20:B21"/>
    <mergeCell ref="AC20:AC21"/>
    <mergeCell ref="A22:A23"/>
    <mergeCell ref="B22:B23"/>
    <mergeCell ref="AC22:AC23"/>
    <mergeCell ref="A16:A17"/>
    <mergeCell ref="B16:B17"/>
    <mergeCell ref="AC16:AC17"/>
    <mergeCell ref="A18:A19"/>
    <mergeCell ref="B18:B19"/>
    <mergeCell ref="AC18:AC19"/>
    <mergeCell ref="A28:A29"/>
    <mergeCell ref="B28:B29"/>
    <mergeCell ref="AC28:AC29"/>
    <mergeCell ref="A30:A31"/>
    <mergeCell ref="B30:B31"/>
    <mergeCell ref="AC30:AC31"/>
    <mergeCell ref="A24:A25"/>
    <mergeCell ref="B24:B25"/>
    <mergeCell ref="AC24:AC25"/>
    <mergeCell ref="A26:A27"/>
    <mergeCell ref="B26:B27"/>
    <mergeCell ref="AC26:AC27"/>
    <mergeCell ref="A36:A37"/>
    <mergeCell ref="B36:B37"/>
    <mergeCell ref="AC36:AC37"/>
    <mergeCell ref="A38:A39"/>
    <mergeCell ref="B38:B39"/>
    <mergeCell ref="AC38:AC39"/>
    <mergeCell ref="A32:A33"/>
    <mergeCell ref="B32:B33"/>
    <mergeCell ref="AC32:AC33"/>
    <mergeCell ref="A34:A35"/>
    <mergeCell ref="B34:B35"/>
    <mergeCell ref="AC34:AC35"/>
    <mergeCell ref="A44:A45"/>
    <mergeCell ref="B44:B45"/>
    <mergeCell ref="AC44:AC45"/>
    <mergeCell ref="A46:A47"/>
    <mergeCell ref="B46:B47"/>
    <mergeCell ref="AC46:AC47"/>
    <mergeCell ref="A40:A41"/>
    <mergeCell ref="B40:B41"/>
    <mergeCell ref="AC40:AC41"/>
    <mergeCell ref="A42:A43"/>
    <mergeCell ref="B42:B43"/>
    <mergeCell ref="AC42:AC43"/>
    <mergeCell ref="A52:A53"/>
    <mergeCell ref="B52:B53"/>
    <mergeCell ref="AC52:AC53"/>
    <mergeCell ref="A54:A55"/>
    <mergeCell ref="B54:B55"/>
    <mergeCell ref="AC54:AC55"/>
    <mergeCell ref="A48:A49"/>
    <mergeCell ref="B48:B49"/>
    <mergeCell ref="AC48:AC49"/>
    <mergeCell ref="A50:A51"/>
    <mergeCell ref="B50:B51"/>
    <mergeCell ref="AC50:AC51"/>
    <mergeCell ref="A60:A61"/>
    <mergeCell ref="B60:B61"/>
    <mergeCell ref="AC60:AC61"/>
    <mergeCell ref="A62:A63"/>
    <mergeCell ref="B62:B63"/>
    <mergeCell ref="AC62:AC63"/>
    <mergeCell ref="A56:A57"/>
    <mergeCell ref="B56:B57"/>
    <mergeCell ref="AC56:AC57"/>
    <mergeCell ref="A58:A59"/>
    <mergeCell ref="B58:B59"/>
    <mergeCell ref="AC58:AC59"/>
    <mergeCell ref="A68:A69"/>
    <mergeCell ref="B68:B69"/>
    <mergeCell ref="AC68:AC69"/>
    <mergeCell ref="A70:D70"/>
    <mergeCell ref="A64:A65"/>
    <mergeCell ref="B64:B65"/>
    <mergeCell ref="AC64:AC65"/>
    <mergeCell ref="A66:A67"/>
    <mergeCell ref="B66:B67"/>
    <mergeCell ref="AC66:AC67"/>
  </mergeCells>
  <phoneticPr fontId="1"/>
  <pageMargins left="0.47244094488188981" right="0.31496062992125984" top="0.59055118110236227" bottom="0.19685039370078741" header="0.31496062992125984" footer="0.31496062992125984"/>
  <pageSetup paperSize="9" scale="45" orientation="landscape" r:id="rId1"/>
  <rowBreaks count="1" manualBreakCount="1">
    <brk id="3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2FA49-C4E0-4BFB-8CA8-F0A5CF8B51DE}">
  <dimension ref="A1:AC73"/>
  <sheetViews>
    <sheetView zoomScale="50" zoomScaleNormal="50" workbookViewId="0">
      <pane xSplit="4" ySplit="9" topLeftCell="E49" activePane="bottomRight" state="frozen"/>
      <selection activeCell="E10" sqref="E10:AA71"/>
      <selection pane="topRight" activeCell="E10" sqref="E10:AA71"/>
      <selection pane="bottomLeft" activeCell="E10" sqref="E10:AA71"/>
      <selection pane="bottomRight" activeCell="E11" sqref="E11:AA11"/>
    </sheetView>
  </sheetViews>
  <sheetFormatPr defaultRowHeight="33.75" customHeight="1"/>
  <cols>
    <col min="1" max="1" width="3.625" customWidth="1"/>
    <col min="2" max="2" width="34.375" customWidth="1"/>
    <col min="3" max="3" width="0.375" customWidth="1"/>
    <col min="4" max="4" width="4.625" customWidth="1"/>
    <col min="5" max="7" width="10" customWidth="1"/>
    <col min="8" max="8" width="0.25" customWidth="1"/>
    <col min="9" max="22" width="10" customWidth="1"/>
    <col min="23" max="24" width="10" style="17" customWidth="1"/>
    <col min="25" max="27" width="10" customWidth="1"/>
    <col min="28" max="28" width="0.25" customWidth="1"/>
    <col min="29" max="29" width="14" customWidth="1"/>
  </cols>
  <sheetData>
    <row r="1" spans="1:29" ht="26.25" customHeight="1" thickBot="1">
      <c r="B1" s="4"/>
    </row>
    <row r="2" spans="1:29" ht="15" customHeight="1">
      <c r="A2" s="377" t="s">
        <v>24</v>
      </c>
      <c r="B2" s="380" t="s">
        <v>342</v>
      </c>
      <c r="C2" s="383"/>
      <c r="D2" s="355" t="s">
        <v>189</v>
      </c>
      <c r="E2" s="356"/>
      <c r="F2" s="356"/>
      <c r="G2" s="356"/>
      <c r="H2" s="386"/>
      <c r="I2" s="355" t="s">
        <v>188</v>
      </c>
      <c r="J2" s="356"/>
      <c r="K2" s="356"/>
      <c r="L2" s="356"/>
      <c r="M2" s="356"/>
      <c r="N2" s="356"/>
      <c r="O2" s="356"/>
      <c r="P2" s="356"/>
      <c r="Q2" s="356"/>
      <c r="R2" s="356"/>
      <c r="S2" s="356"/>
      <c r="T2" s="356"/>
      <c r="U2" s="356"/>
      <c r="V2" s="356"/>
      <c r="W2" s="356"/>
      <c r="X2" s="356"/>
      <c r="Y2" s="356"/>
      <c r="Z2" s="356"/>
      <c r="AA2" s="356"/>
      <c r="AB2" s="424"/>
      <c r="AC2" s="445" t="s">
        <v>265</v>
      </c>
    </row>
    <row r="3" spans="1:29" ht="18.75" customHeight="1">
      <c r="A3" s="378"/>
      <c r="B3" s="381"/>
      <c r="C3" s="384"/>
      <c r="D3" s="358"/>
      <c r="E3" s="359"/>
      <c r="F3" s="359"/>
      <c r="G3" s="359"/>
      <c r="H3" s="387"/>
      <c r="I3" s="358"/>
      <c r="J3" s="359"/>
      <c r="K3" s="359"/>
      <c r="L3" s="359"/>
      <c r="M3" s="359"/>
      <c r="N3" s="359"/>
      <c r="O3" s="359"/>
      <c r="P3" s="359"/>
      <c r="Q3" s="359"/>
      <c r="R3" s="359"/>
      <c r="S3" s="359"/>
      <c r="T3" s="359"/>
      <c r="U3" s="359"/>
      <c r="V3" s="359"/>
      <c r="W3" s="359"/>
      <c r="X3" s="359"/>
      <c r="Y3" s="359"/>
      <c r="Z3" s="359"/>
      <c r="AA3" s="359"/>
      <c r="AB3" s="425"/>
      <c r="AC3" s="446"/>
    </row>
    <row r="4" spans="1:29" ht="11.25" customHeight="1">
      <c r="A4" s="378"/>
      <c r="B4" s="382"/>
      <c r="C4" s="385"/>
      <c r="D4" s="361"/>
      <c r="E4" s="362"/>
      <c r="F4" s="362"/>
      <c r="G4" s="362"/>
      <c r="H4" s="388"/>
      <c r="I4" s="361"/>
      <c r="J4" s="362"/>
      <c r="K4" s="362"/>
      <c r="L4" s="362"/>
      <c r="M4" s="362"/>
      <c r="N4" s="362"/>
      <c r="O4" s="362"/>
      <c r="P4" s="362"/>
      <c r="Q4" s="362"/>
      <c r="R4" s="362"/>
      <c r="S4" s="362"/>
      <c r="T4" s="362"/>
      <c r="U4" s="362"/>
      <c r="V4" s="362"/>
      <c r="W4" s="362"/>
      <c r="X4" s="362"/>
      <c r="Y4" s="362"/>
      <c r="Z4" s="362"/>
      <c r="AA4" s="362"/>
      <c r="AB4" s="434"/>
      <c r="AC4" s="447" t="s">
        <v>49</v>
      </c>
    </row>
    <row r="5" spans="1:29" ht="2.25" customHeight="1">
      <c r="A5" s="378"/>
      <c r="B5" s="38"/>
      <c r="C5" s="3"/>
      <c r="D5" s="204"/>
      <c r="E5" s="397"/>
      <c r="F5" s="398"/>
      <c r="G5" s="398"/>
      <c r="H5" s="3"/>
      <c r="I5" s="397"/>
      <c r="J5" s="398"/>
      <c r="K5" s="398"/>
      <c r="L5" s="398"/>
      <c r="M5" s="398"/>
      <c r="N5" s="398"/>
      <c r="O5" s="398"/>
      <c r="P5" s="398"/>
      <c r="Q5" s="398"/>
      <c r="R5" s="398"/>
      <c r="S5" s="398"/>
      <c r="T5" s="398"/>
      <c r="U5" s="398"/>
      <c r="V5" s="398"/>
      <c r="W5" s="398"/>
      <c r="X5" s="398"/>
      <c r="Y5" s="398"/>
      <c r="Z5" s="398"/>
      <c r="AA5" s="398"/>
      <c r="AB5" s="435"/>
      <c r="AC5" s="448"/>
    </row>
    <row r="6" spans="1:29" s="201" customFormat="1" ht="15" customHeight="1">
      <c r="A6" s="378"/>
      <c r="B6" s="389" t="s">
        <v>51</v>
      </c>
      <c r="C6" s="391"/>
      <c r="D6" s="391"/>
      <c r="E6" s="391" t="s">
        <v>26</v>
      </c>
      <c r="F6" s="391" t="str">
        <f>雑収入</f>
        <v>雑収入</v>
      </c>
      <c r="G6" s="444" t="s">
        <v>27</v>
      </c>
      <c r="H6" s="391"/>
      <c r="I6" s="199" t="s">
        <v>28</v>
      </c>
      <c r="J6" s="391" t="str">
        <f>租税公課</f>
        <v>租税公課</v>
      </c>
      <c r="K6" s="391" t="s">
        <v>101</v>
      </c>
      <c r="L6" s="391" t="s">
        <v>6</v>
      </c>
      <c r="M6" s="364" t="str">
        <f>通信費</f>
        <v>通信費</v>
      </c>
      <c r="N6" s="391" t="s">
        <v>8</v>
      </c>
      <c r="O6" s="391" t="s">
        <v>9</v>
      </c>
      <c r="P6" s="391" t="s">
        <v>10</v>
      </c>
      <c r="Q6" s="364" t="str">
        <f>修繕費</f>
        <v>修繕費</v>
      </c>
      <c r="R6" s="391" t="str">
        <f>消耗品費</f>
        <v>消耗品費</v>
      </c>
      <c r="S6" s="391" t="s">
        <v>97</v>
      </c>
      <c r="T6" s="391" t="str">
        <f>給料賃金</f>
        <v>給料賃金</v>
      </c>
      <c r="U6" s="391" t="str">
        <f>外注工賃</f>
        <v>外注工賃</v>
      </c>
      <c r="V6" s="391" t="s">
        <v>16</v>
      </c>
      <c r="W6" s="364" t="str">
        <f>車両費</f>
        <v>車両費</v>
      </c>
      <c r="X6" s="484" t="str">
        <f>空欄1</f>
        <v>空欄1</v>
      </c>
      <c r="Y6" s="391" t="str">
        <f>空欄2</f>
        <v>空欄2</v>
      </c>
      <c r="Z6" s="391" t="str">
        <f>雑費</f>
        <v>雑費</v>
      </c>
      <c r="AA6" s="200" t="s">
        <v>143</v>
      </c>
      <c r="AB6" s="425"/>
      <c r="AC6" s="446"/>
    </row>
    <row r="7" spans="1:29" s="201" customFormat="1" ht="7.5" customHeight="1">
      <c r="A7" s="378"/>
      <c r="B7" s="387"/>
      <c r="C7" s="392"/>
      <c r="D7" s="392"/>
      <c r="E7" s="392"/>
      <c r="F7" s="392"/>
      <c r="G7" s="426"/>
      <c r="H7" s="392"/>
      <c r="I7" s="366" t="s">
        <v>38</v>
      </c>
      <c r="J7" s="392"/>
      <c r="K7" s="392"/>
      <c r="L7" s="392"/>
      <c r="M7" s="366"/>
      <c r="N7" s="392"/>
      <c r="O7" s="392"/>
      <c r="P7" s="392"/>
      <c r="Q7" s="366"/>
      <c r="R7" s="392"/>
      <c r="S7" s="392"/>
      <c r="T7" s="392"/>
      <c r="U7" s="392"/>
      <c r="V7" s="392"/>
      <c r="W7" s="366"/>
      <c r="X7" s="485"/>
      <c r="Y7" s="392"/>
      <c r="Z7" s="392"/>
      <c r="AA7" s="426" t="s">
        <v>98</v>
      </c>
      <c r="AB7" s="391"/>
      <c r="AC7" s="489">
        <f>繰越・11月</f>
        <v>0</v>
      </c>
    </row>
    <row r="8" spans="1:29" s="201" customFormat="1" ht="7.5" customHeight="1">
      <c r="A8" s="378"/>
      <c r="B8" s="387"/>
      <c r="C8" s="392"/>
      <c r="D8" s="392"/>
      <c r="E8" s="392" t="s">
        <v>36</v>
      </c>
      <c r="F8" s="392"/>
      <c r="G8" s="426" t="s">
        <v>37</v>
      </c>
      <c r="H8" s="392"/>
      <c r="I8" s="366"/>
      <c r="J8" s="392"/>
      <c r="K8" s="392"/>
      <c r="L8" s="392"/>
      <c r="M8" s="366"/>
      <c r="N8" s="392"/>
      <c r="O8" s="392"/>
      <c r="P8" s="392"/>
      <c r="Q8" s="366"/>
      <c r="R8" s="392"/>
      <c r="S8" s="392"/>
      <c r="T8" s="392"/>
      <c r="U8" s="392"/>
      <c r="V8" s="392"/>
      <c r="W8" s="366"/>
      <c r="X8" s="485"/>
      <c r="Y8" s="392"/>
      <c r="Z8" s="392"/>
      <c r="AA8" s="426"/>
      <c r="AB8" s="392"/>
      <c r="AC8" s="490"/>
    </row>
    <row r="9" spans="1:29" s="201" customFormat="1" ht="15" customHeight="1" thickBot="1">
      <c r="A9" s="379"/>
      <c r="B9" s="390"/>
      <c r="C9" s="393"/>
      <c r="D9" s="393"/>
      <c r="E9" s="393"/>
      <c r="F9" s="393"/>
      <c r="G9" s="416"/>
      <c r="H9" s="393"/>
      <c r="I9" s="202" t="s">
        <v>50</v>
      </c>
      <c r="J9" s="393"/>
      <c r="K9" s="393"/>
      <c r="L9" s="393"/>
      <c r="M9" s="368"/>
      <c r="N9" s="393"/>
      <c r="O9" s="393"/>
      <c r="P9" s="393"/>
      <c r="Q9" s="368"/>
      <c r="R9" s="393"/>
      <c r="S9" s="393"/>
      <c r="T9" s="393"/>
      <c r="U9" s="393"/>
      <c r="V9" s="393"/>
      <c r="W9" s="368"/>
      <c r="X9" s="486"/>
      <c r="Y9" s="393"/>
      <c r="Z9" s="393"/>
      <c r="AA9" s="203" t="s">
        <v>231</v>
      </c>
      <c r="AB9" s="392"/>
      <c r="AC9" s="490"/>
    </row>
    <row r="10" spans="1:29" s="7" customFormat="1" ht="33.75" customHeight="1">
      <c r="A10" s="455">
        <v>1</v>
      </c>
      <c r="B10" s="481"/>
      <c r="C10" s="13"/>
      <c r="D10" s="273" t="s">
        <v>177</v>
      </c>
      <c r="E10" s="216"/>
      <c r="F10" s="217"/>
      <c r="G10" s="217"/>
      <c r="H10" s="218"/>
      <c r="I10" s="217"/>
      <c r="J10" s="218"/>
      <c r="K10" s="217"/>
      <c r="L10" s="218"/>
      <c r="M10" s="217"/>
      <c r="N10" s="218"/>
      <c r="O10" s="217"/>
      <c r="P10" s="218"/>
      <c r="Q10" s="217"/>
      <c r="R10" s="218"/>
      <c r="S10" s="217"/>
      <c r="T10" s="218"/>
      <c r="U10" s="217"/>
      <c r="V10" s="217"/>
      <c r="W10" s="217"/>
      <c r="X10" s="219"/>
      <c r="Y10" s="217"/>
      <c r="Z10" s="217"/>
      <c r="AA10" s="217"/>
      <c r="AB10" s="196"/>
      <c r="AC10" s="460">
        <f>SUM($E11:$G11)-SUM($I11:$AA11)+$AC$7</f>
        <v>0</v>
      </c>
    </row>
    <row r="11" spans="1:29" s="7" customFormat="1" ht="33.75" customHeight="1" thickBot="1">
      <c r="A11" s="459"/>
      <c r="B11" s="487"/>
      <c r="C11" s="15"/>
      <c r="D11" s="274" t="s">
        <v>105</v>
      </c>
      <c r="E11" s="277"/>
      <c r="F11" s="278"/>
      <c r="G11" s="278"/>
      <c r="H11" s="276"/>
      <c r="I11" s="278"/>
      <c r="J11" s="276"/>
      <c r="K11" s="278"/>
      <c r="L11" s="276"/>
      <c r="M11" s="278"/>
      <c r="N11" s="276"/>
      <c r="O11" s="278"/>
      <c r="P11" s="276"/>
      <c r="Q11" s="278"/>
      <c r="R11" s="276"/>
      <c r="S11" s="278"/>
      <c r="T11" s="276"/>
      <c r="U11" s="278"/>
      <c r="V11" s="278"/>
      <c r="W11" s="278"/>
      <c r="X11" s="284"/>
      <c r="Y11" s="278"/>
      <c r="Z11" s="278"/>
      <c r="AA11" s="278"/>
      <c r="AB11" s="197"/>
      <c r="AC11" s="454"/>
    </row>
    <row r="12" spans="1:29" s="7" customFormat="1" ht="33.75" customHeight="1">
      <c r="A12" s="449">
        <v>2</v>
      </c>
      <c r="B12" s="483"/>
      <c r="C12" s="13"/>
      <c r="D12" s="273" t="s">
        <v>177</v>
      </c>
      <c r="E12" s="216"/>
      <c r="F12" s="217"/>
      <c r="G12" s="217"/>
      <c r="H12" s="218"/>
      <c r="I12" s="218"/>
      <c r="J12" s="218"/>
      <c r="K12" s="218"/>
      <c r="L12" s="218"/>
      <c r="M12" s="218"/>
      <c r="N12" s="218"/>
      <c r="O12" s="218"/>
      <c r="P12" s="218"/>
      <c r="Q12" s="218"/>
      <c r="R12" s="218"/>
      <c r="S12" s="218"/>
      <c r="T12" s="218"/>
      <c r="U12" s="218"/>
      <c r="V12" s="218"/>
      <c r="W12" s="218"/>
      <c r="X12" s="221"/>
      <c r="Y12" s="218"/>
      <c r="Z12" s="218"/>
      <c r="AA12" s="218"/>
      <c r="AB12" s="196"/>
      <c r="AC12" s="453">
        <f>SUM($E13:$G13)-SUM($I13:$AA13)+$AC10</f>
        <v>0</v>
      </c>
    </row>
    <row r="13" spans="1:29" s="7" customFormat="1" ht="33.75" customHeight="1" thickBot="1">
      <c r="A13" s="450"/>
      <c r="B13" s="482"/>
      <c r="C13" s="15"/>
      <c r="D13" s="274" t="s">
        <v>105</v>
      </c>
      <c r="E13" s="277"/>
      <c r="F13" s="278"/>
      <c r="G13" s="278"/>
      <c r="H13" s="276"/>
      <c r="I13" s="276"/>
      <c r="J13" s="276"/>
      <c r="K13" s="276"/>
      <c r="L13" s="276"/>
      <c r="M13" s="276"/>
      <c r="N13" s="276"/>
      <c r="O13" s="276"/>
      <c r="P13" s="276"/>
      <c r="Q13" s="276"/>
      <c r="R13" s="276"/>
      <c r="S13" s="276"/>
      <c r="T13" s="276"/>
      <c r="U13" s="276"/>
      <c r="V13" s="276"/>
      <c r="W13" s="276"/>
      <c r="X13" s="279"/>
      <c r="Y13" s="276"/>
      <c r="Z13" s="276"/>
      <c r="AA13" s="276"/>
      <c r="AB13" s="197"/>
      <c r="AC13" s="454"/>
    </row>
    <row r="14" spans="1:29" s="7" customFormat="1" ht="33.75" customHeight="1">
      <c r="A14" s="455">
        <v>3</v>
      </c>
      <c r="B14" s="481"/>
      <c r="C14" s="13"/>
      <c r="D14" s="273" t="s">
        <v>177</v>
      </c>
      <c r="E14" s="216"/>
      <c r="F14" s="217"/>
      <c r="G14" s="217"/>
      <c r="H14" s="218"/>
      <c r="I14" s="218"/>
      <c r="J14" s="218"/>
      <c r="K14" s="218"/>
      <c r="L14" s="218"/>
      <c r="M14" s="218"/>
      <c r="N14" s="218"/>
      <c r="O14" s="218"/>
      <c r="P14" s="218"/>
      <c r="Q14" s="218"/>
      <c r="R14" s="218"/>
      <c r="S14" s="218"/>
      <c r="T14" s="218"/>
      <c r="U14" s="218"/>
      <c r="V14" s="218"/>
      <c r="W14" s="218"/>
      <c r="X14" s="221"/>
      <c r="Y14" s="218"/>
      <c r="Z14" s="218"/>
      <c r="AA14" s="218"/>
      <c r="AB14" s="196"/>
      <c r="AC14" s="453">
        <f>SUM($E15:$G15)-SUM($I15:$AA15)+$AC12</f>
        <v>0</v>
      </c>
    </row>
    <row r="15" spans="1:29" s="7" customFormat="1" ht="33.75" customHeight="1" thickBot="1">
      <c r="A15" s="456"/>
      <c r="B15" s="482"/>
      <c r="C15" s="15"/>
      <c r="D15" s="274" t="s">
        <v>105</v>
      </c>
      <c r="E15" s="277"/>
      <c r="F15" s="278"/>
      <c r="G15" s="278"/>
      <c r="H15" s="276"/>
      <c r="I15" s="276"/>
      <c r="J15" s="276"/>
      <c r="K15" s="276"/>
      <c r="L15" s="276"/>
      <c r="M15" s="276"/>
      <c r="N15" s="276"/>
      <c r="O15" s="276"/>
      <c r="P15" s="276"/>
      <c r="Q15" s="276"/>
      <c r="R15" s="276"/>
      <c r="S15" s="276"/>
      <c r="T15" s="276"/>
      <c r="U15" s="276"/>
      <c r="V15" s="276"/>
      <c r="W15" s="276"/>
      <c r="X15" s="279"/>
      <c r="Y15" s="276"/>
      <c r="Z15" s="276"/>
      <c r="AA15" s="276"/>
      <c r="AB15" s="197"/>
      <c r="AC15" s="454"/>
    </row>
    <row r="16" spans="1:29" s="7" customFormat="1" ht="33.75" customHeight="1">
      <c r="A16" s="464">
        <v>4</v>
      </c>
      <c r="B16" s="481"/>
      <c r="C16" s="13"/>
      <c r="D16" s="273" t="s">
        <v>177</v>
      </c>
      <c r="E16" s="216"/>
      <c r="F16" s="217"/>
      <c r="G16" s="217"/>
      <c r="H16" s="218"/>
      <c r="I16" s="218"/>
      <c r="J16" s="218"/>
      <c r="K16" s="218"/>
      <c r="L16" s="218"/>
      <c r="M16" s="218"/>
      <c r="N16" s="218"/>
      <c r="O16" s="218"/>
      <c r="P16" s="218"/>
      <c r="Q16" s="218"/>
      <c r="R16" s="218"/>
      <c r="S16" s="218"/>
      <c r="T16" s="218"/>
      <c r="U16" s="218"/>
      <c r="V16" s="218"/>
      <c r="W16" s="218"/>
      <c r="X16" s="221"/>
      <c r="Y16" s="218"/>
      <c r="Z16" s="218"/>
      <c r="AA16" s="218"/>
      <c r="AB16" s="196"/>
      <c r="AC16" s="453">
        <f t="shared" ref="AC16" si="0">SUM($E17:$G17)-SUM($I17:$AA17)+$AC14</f>
        <v>0</v>
      </c>
    </row>
    <row r="17" spans="1:29" s="7" customFormat="1" ht="33.75" customHeight="1" thickBot="1">
      <c r="A17" s="450"/>
      <c r="B17" s="482"/>
      <c r="C17" s="15"/>
      <c r="D17" s="274" t="s">
        <v>105</v>
      </c>
      <c r="E17" s="277"/>
      <c r="F17" s="278"/>
      <c r="G17" s="278"/>
      <c r="H17" s="276"/>
      <c r="I17" s="276"/>
      <c r="J17" s="276"/>
      <c r="K17" s="276"/>
      <c r="L17" s="276"/>
      <c r="M17" s="276"/>
      <c r="N17" s="276"/>
      <c r="O17" s="276"/>
      <c r="P17" s="276"/>
      <c r="Q17" s="276"/>
      <c r="R17" s="276"/>
      <c r="S17" s="276"/>
      <c r="T17" s="276"/>
      <c r="U17" s="276"/>
      <c r="V17" s="276"/>
      <c r="W17" s="276"/>
      <c r="X17" s="279"/>
      <c r="Y17" s="276"/>
      <c r="Z17" s="276"/>
      <c r="AA17" s="276"/>
      <c r="AB17" s="197"/>
      <c r="AC17" s="454"/>
    </row>
    <row r="18" spans="1:29" s="7" customFormat="1" ht="33.75" customHeight="1">
      <c r="A18" s="455">
        <v>5</v>
      </c>
      <c r="B18" s="481"/>
      <c r="C18" s="13"/>
      <c r="D18" s="273" t="s">
        <v>177</v>
      </c>
      <c r="E18" s="216"/>
      <c r="F18" s="217"/>
      <c r="G18" s="217"/>
      <c r="H18" s="218"/>
      <c r="I18" s="218"/>
      <c r="J18" s="218"/>
      <c r="K18" s="218"/>
      <c r="L18" s="218"/>
      <c r="M18" s="218"/>
      <c r="N18" s="218"/>
      <c r="O18" s="218"/>
      <c r="P18" s="218"/>
      <c r="Q18" s="218"/>
      <c r="R18" s="218"/>
      <c r="S18" s="218"/>
      <c r="T18" s="218"/>
      <c r="U18" s="218"/>
      <c r="V18" s="218"/>
      <c r="W18" s="218"/>
      <c r="X18" s="221"/>
      <c r="Y18" s="218"/>
      <c r="Z18" s="218"/>
      <c r="AA18" s="218"/>
      <c r="AB18" s="196"/>
      <c r="AC18" s="453">
        <f t="shared" ref="AC18" si="1">SUM($E19:$G19)-SUM($I19:$AA19)+$AC16</f>
        <v>0</v>
      </c>
    </row>
    <row r="19" spans="1:29" s="7" customFormat="1" ht="33.75" customHeight="1" thickBot="1">
      <c r="A19" s="456"/>
      <c r="B19" s="482"/>
      <c r="C19" s="15"/>
      <c r="D19" s="274" t="s">
        <v>105</v>
      </c>
      <c r="E19" s="277"/>
      <c r="F19" s="278"/>
      <c r="G19" s="278"/>
      <c r="H19" s="276"/>
      <c r="I19" s="276"/>
      <c r="J19" s="276"/>
      <c r="K19" s="276"/>
      <c r="L19" s="276"/>
      <c r="M19" s="276"/>
      <c r="N19" s="276"/>
      <c r="O19" s="276"/>
      <c r="P19" s="276"/>
      <c r="Q19" s="276"/>
      <c r="R19" s="276"/>
      <c r="S19" s="276"/>
      <c r="T19" s="276"/>
      <c r="U19" s="276"/>
      <c r="V19" s="276"/>
      <c r="W19" s="276"/>
      <c r="X19" s="279"/>
      <c r="Y19" s="276"/>
      <c r="Z19" s="276"/>
      <c r="AA19" s="276"/>
      <c r="AB19" s="197"/>
      <c r="AC19" s="454"/>
    </row>
    <row r="20" spans="1:29" s="7" customFormat="1" ht="33.75" customHeight="1">
      <c r="A20" s="464">
        <v>6</v>
      </c>
      <c r="B20" s="481"/>
      <c r="C20" s="13"/>
      <c r="D20" s="273" t="s">
        <v>177</v>
      </c>
      <c r="E20" s="216"/>
      <c r="F20" s="217"/>
      <c r="G20" s="217"/>
      <c r="H20" s="218"/>
      <c r="I20" s="218"/>
      <c r="J20" s="218"/>
      <c r="K20" s="218"/>
      <c r="L20" s="218"/>
      <c r="M20" s="218"/>
      <c r="N20" s="218"/>
      <c r="O20" s="218"/>
      <c r="P20" s="218"/>
      <c r="Q20" s="218"/>
      <c r="R20" s="218"/>
      <c r="S20" s="218"/>
      <c r="T20" s="218"/>
      <c r="U20" s="218"/>
      <c r="V20" s="218"/>
      <c r="W20" s="218"/>
      <c r="X20" s="221"/>
      <c r="Y20" s="218"/>
      <c r="Z20" s="218"/>
      <c r="AA20" s="218"/>
      <c r="AB20" s="196"/>
      <c r="AC20" s="453">
        <f t="shared" ref="AC20" si="2">SUM($E21:$G21)-SUM($I21:$AA21)+$AC18</f>
        <v>0</v>
      </c>
    </row>
    <row r="21" spans="1:29" s="7" customFormat="1" ht="33.75" customHeight="1" thickBot="1">
      <c r="A21" s="450"/>
      <c r="B21" s="482"/>
      <c r="C21" s="15"/>
      <c r="D21" s="274" t="s">
        <v>105</v>
      </c>
      <c r="E21" s="277"/>
      <c r="F21" s="278"/>
      <c r="G21" s="278"/>
      <c r="H21" s="276"/>
      <c r="I21" s="276"/>
      <c r="J21" s="276"/>
      <c r="K21" s="276"/>
      <c r="L21" s="276"/>
      <c r="M21" s="276"/>
      <c r="N21" s="276"/>
      <c r="O21" s="276"/>
      <c r="P21" s="276"/>
      <c r="Q21" s="276"/>
      <c r="R21" s="276"/>
      <c r="S21" s="276"/>
      <c r="T21" s="276"/>
      <c r="U21" s="276"/>
      <c r="V21" s="276"/>
      <c r="W21" s="276"/>
      <c r="X21" s="279"/>
      <c r="Y21" s="276"/>
      <c r="Z21" s="276"/>
      <c r="AA21" s="276"/>
      <c r="AB21" s="197"/>
      <c r="AC21" s="454"/>
    </row>
    <row r="22" spans="1:29" s="7" customFormat="1" ht="33.75" customHeight="1">
      <c r="A22" s="455">
        <v>7</v>
      </c>
      <c r="B22" s="481"/>
      <c r="C22" s="13"/>
      <c r="D22" s="273" t="s">
        <v>177</v>
      </c>
      <c r="E22" s="216"/>
      <c r="F22" s="217"/>
      <c r="G22" s="217"/>
      <c r="H22" s="218"/>
      <c r="I22" s="218"/>
      <c r="J22" s="218"/>
      <c r="K22" s="218"/>
      <c r="L22" s="218"/>
      <c r="M22" s="218"/>
      <c r="N22" s="218"/>
      <c r="O22" s="218"/>
      <c r="P22" s="218"/>
      <c r="Q22" s="218"/>
      <c r="R22" s="218"/>
      <c r="S22" s="218"/>
      <c r="T22" s="218"/>
      <c r="U22" s="218"/>
      <c r="V22" s="218"/>
      <c r="W22" s="218"/>
      <c r="X22" s="221"/>
      <c r="Y22" s="218"/>
      <c r="Z22" s="218"/>
      <c r="AA22" s="218"/>
      <c r="AB22" s="196"/>
      <c r="AC22" s="453">
        <f t="shared" ref="AC22" si="3">SUM($E23:$G23)-SUM($I23:$AA23)+$AC20</f>
        <v>0</v>
      </c>
    </row>
    <row r="23" spans="1:29" s="7" customFormat="1" ht="33.75" customHeight="1" thickBot="1">
      <c r="A23" s="456"/>
      <c r="B23" s="482"/>
      <c r="C23" s="15"/>
      <c r="D23" s="274" t="s">
        <v>105</v>
      </c>
      <c r="E23" s="277"/>
      <c r="F23" s="278"/>
      <c r="G23" s="278"/>
      <c r="H23" s="276"/>
      <c r="I23" s="276"/>
      <c r="J23" s="276"/>
      <c r="K23" s="276"/>
      <c r="L23" s="276"/>
      <c r="M23" s="276"/>
      <c r="N23" s="276"/>
      <c r="O23" s="276"/>
      <c r="P23" s="276"/>
      <c r="Q23" s="276"/>
      <c r="R23" s="276"/>
      <c r="S23" s="276"/>
      <c r="T23" s="276"/>
      <c r="U23" s="276"/>
      <c r="V23" s="276"/>
      <c r="W23" s="276"/>
      <c r="X23" s="279"/>
      <c r="Y23" s="276"/>
      <c r="Z23" s="276"/>
      <c r="AA23" s="276"/>
      <c r="AB23" s="197"/>
      <c r="AC23" s="454"/>
    </row>
    <row r="24" spans="1:29" s="7" customFormat="1" ht="33.75" customHeight="1">
      <c r="A24" s="464">
        <v>8</v>
      </c>
      <c r="B24" s="481"/>
      <c r="C24" s="13"/>
      <c r="D24" s="273" t="s">
        <v>177</v>
      </c>
      <c r="E24" s="216"/>
      <c r="F24" s="217"/>
      <c r="G24" s="217"/>
      <c r="H24" s="218"/>
      <c r="I24" s="218"/>
      <c r="J24" s="218"/>
      <c r="K24" s="218"/>
      <c r="L24" s="218"/>
      <c r="M24" s="218"/>
      <c r="N24" s="218"/>
      <c r="O24" s="218"/>
      <c r="P24" s="218"/>
      <c r="Q24" s="218"/>
      <c r="R24" s="218"/>
      <c r="S24" s="218"/>
      <c r="T24" s="218"/>
      <c r="U24" s="218"/>
      <c r="V24" s="218"/>
      <c r="W24" s="218"/>
      <c r="X24" s="221"/>
      <c r="Y24" s="218"/>
      <c r="Z24" s="218"/>
      <c r="AA24" s="218"/>
      <c r="AB24" s="196"/>
      <c r="AC24" s="453">
        <f t="shared" ref="AC24" si="4">SUM($E25:$G25)-SUM($I25:$AA25)+$AC22</f>
        <v>0</v>
      </c>
    </row>
    <row r="25" spans="1:29" s="7" customFormat="1" ht="33.75" customHeight="1" thickBot="1">
      <c r="A25" s="450"/>
      <c r="B25" s="482"/>
      <c r="C25" s="15"/>
      <c r="D25" s="274" t="s">
        <v>105</v>
      </c>
      <c r="E25" s="277"/>
      <c r="F25" s="278"/>
      <c r="G25" s="278"/>
      <c r="H25" s="276"/>
      <c r="I25" s="276"/>
      <c r="J25" s="276"/>
      <c r="K25" s="276"/>
      <c r="L25" s="276"/>
      <c r="M25" s="276"/>
      <c r="N25" s="276"/>
      <c r="O25" s="276"/>
      <c r="P25" s="276"/>
      <c r="Q25" s="276"/>
      <c r="R25" s="276"/>
      <c r="S25" s="276"/>
      <c r="T25" s="276"/>
      <c r="U25" s="276"/>
      <c r="V25" s="276"/>
      <c r="W25" s="276"/>
      <c r="X25" s="279"/>
      <c r="Y25" s="276"/>
      <c r="Z25" s="276"/>
      <c r="AA25" s="276"/>
      <c r="AB25" s="197"/>
      <c r="AC25" s="454"/>
    </row>
    <row r="26" spans="1:29" s="7" customFormat="1" ht="33.75" customHeight="1">
      <c r="A26" s="455">
        <v>9</v>
      </c>
      <c r="B26" s="481"/>
      <c r="C26" s="13"/>
      <c r="D26" s="273" t="s">
        <v>177</v>
      </c>
      <c r="E26" s="216"/>
      <c r="F26" s="217"/>
      <c r="G26" s="217"/>
      <c r="H26" s="218"/>
      <c r="I26" s="218"/>
      <c r="J26" s="218"/>
      <c r="K26" s="218"/>
      <c r="L26" s="218"/>
      <c r="M26" s="218"/>
      <c r="N26" s="218"/>
      <c r="O26" s="218"/>
      <c r="P26" s="218"/>
      <c r="Q26" s="218"/>
      <c r="R26" s="218"/>
      <c r="S26" s="218"/>
      <c r="T26" s="218"/>
      <c r="U26" s="218"/>
      <c r="V26" s="218"/>
      <c r="W26" s="218"/>
      <c r="X26" s="221"/>
      <c r="Y26" s="218"/>
      <c r="Z26" s="218"/>
      <c r="AA26" s="218"/>
      <c r="AB26" s="196"/>
      <c r="AC26" s="453">
        <f t="shared" ref="AC26" si="5">SUM($E27:$G27)-SUM($I27:$AA27)+$AC24</f>
        <v>0</v>
      </c>
    </row>
    <row r="27" spans="1:29" s="7" customFormat="1" ht="33.75" customHeight="1" thickBot="1">
      <c r="A27" s="456"/>
      <c r="B27" s="482"/>
      <c r="C27" s="15"/>
      <c r="D27" s="274" t="s">
        <v>105</v>
      </c>
      <c r="E27" s="277"/>
      <c r="F27" s="278"/>
      <c r="G27" s="278"/>
      <c r="H27" s="276"/>
      <c r="I27" s="276"/>
      <c r="J27" s="276"/>
      <c r="K27" s="276"/>
      <c r="L27" s="276"/>
      <c r="M27" s="276"/>
      <c r="N27" s="276"/>
      <c r="O27" s="276"/>
      <c r="P27" s="276"/>
      <c r="Q27" s="276"/>
      <c r="R27" s="276"/>
      <c r="S27" s="276"/>
      <c r="T27" s="276"/>
      <c r="U27" s="276"/>
      <c r="V27" s="276"/>
      <c r="W27" s="276"/>
      <c r="X27" s="279"/>
      <c r="Y27" s="276"/>
      <c r="Z27" s="276"/>
      <c r="AA27" s="276"/>
      <c r="AB27" s="197"/>
      <c r="AC27" s="454"/>
    </row>
    <row r="28" spans="1:29" s="7" customFormat="1" ht="33.75" customHeight="1">
      <c r="A28" s="464">
        <v>10</v>
      </c>
      <c r="B28" s="481"/>
      <c r="C28" s="13"/>
      <c r="D28" s="273" t="s">
        <v>177</v>
      </c>
      <c r="E28" s="216"/>
      <c r="F28" s="217"/>
      <c r="G28" s="217"/>
      <c r="H28" s="218"/>
      <c r="I28" s="218"/>
      <c r="J28" s="218"/>
      <c r="K28" s="218"/>
      <c r="L28" s="218"/>
      <c r="M28" s="218"/>
      <c r="N28" s="218"/>
      <c r="O28" s="218"/>
      <c r="P28" s="218"/>
      <c r="Q28" s="218"/>
      <c r="R28" s="218"/>
      <c r="S28" s="218"/>
      <c r="T28" s="218"/>
      <c r="U28" s="218"/>
      <c r="V28" s="218"/>
      <c r="W28" s="218"/>
      <c r="X28" s="221"/>
      <c r="Y28" s="218"/>
      <c r="Z28" s="218"/>
      <c r="AA28" s="218"/>
      <c r="AB28" s="196"/>
      <c r="AC28" s="453">
        <f t="shared" ref="AC28" si="6">SUM($E29:$G29)-SUM($I29:$AA29)+$AC26</f>
        <v>0</v>
      </c>
    </row>
    <row r="29" spans="1:29" s="7" customFormat="1" ht="33.75" customHeight="1" thickBot="1">
      <c r="A29" s="450"/>
      <c r="B29" s="482"/>
      <c r="C29" s="15"/>
      <c r="D29" s="274" t="s">
        <v>105</v>
      </c>
      <c r="E29" s="277"/>
      <c r="F29" s="278"/>
      <c r="G29" s="278"/>
      <c r="H29" s="276"/>
      <c r="I29" s="276"/>
      <c r="J29" s="276"/>
      <c r="K29" s="276"/>
      <c r="L29" s="276"/>
      <c r="M29" s="276"/>
      <c r="N29" s="276"/>
      <c r="O29" s="276"/>
      <c r="P29" s="276"/>
      <c r="Q29" s="276"/>
      <c r="R29" s="276"/>
      <c r="S29" s="276"/>
      <c r="T29" s="276"/>
      <c r="U29" s="276"/>
      <c r="V29" s="276"/>
      <c r="W29" s="276"/>
      <c r="X29" s="279"/>
      <c r="Y29" s="276"/>
      <c r="Z29" s="276"/>
      <c r="AA29" s="276"/>
      <c r="AB29" s="197"/>
      <c r="AC29" s="454"/>
    </row>
    <row r="30" spans="1:29" s="7" customFormat="1" ht="33.75" customHeight="1">
      <c r="A30" s="455">
        <v>11</v>
      </c>
      <c r="B30" s="481"/>
      <c r="C30" s="13"/>
      <c r="D30" s="273" t="s">
        <v>177</v>
      </c>
      <c r="E30" s="216"/>
      <c r="F30" s="217"/>
      <c r="G30" s="217"/>
      <c r="H30" s="218"/>
      <c r="I30" s="218"/>
      <c r="J30" s="218"/>
      <c r="K30" s="218"/>
      <c r="L30" s="218"/>
      <c r="M30" s="218"/>
      <c r="N30" s="218"/>
      <c r="O30" s="218"/>
      <c r="P30" s="218"/>
      <c r="Q30" s="218"/>
      <c r="R30" s="218"/>
      <c r="S30" s="218"/>
      <c r="T30" s="218"/>
      <c r="U30" s="218"/>
      <c r="V30" s="218"/>
      <c r="W30" s="218"/>
      <c r="X30" s="221"/>
      <c r="Y30" s="218"/>
      <c r="Z30" s="218"/>
      <c r="AA30" s="218"/>
      <c r="AB30" s="196"/>
      <c r="AC30" s="453">
        <f t="shared" ref="AC30" si="7">SUM($E31:$G31)-SUM($I31:$AA31)+$AC28</f>
        <v>0</v>
      </c>
    </row>
    <row r="31" spans="1:29" s="7" customFormat="1" ht="33.75" customHeight="1" thickBot="1">
      <c r="A31" s="456"/>
      <c r="B31" s="482"/>
      <c r="C31" s="15"/>
      <c r="D31" s="274" t="s">
        <v>105</v>
      </c>
      <c r="E31" s="277"/>
      <c r="F31" s="278"/>
      <c r="G31" s="278"/>
      <c r="H31" s="276"/>
      <c r="I31" s="276"/>
      <c r="J31" s="276"/>
      <c r="K31" s="276"/>
      <c r="L31" s="276"/>
      <c r="M31" s="276"/>
      <c r="N31" s="276"/>
      <c r="O31" s="276"/>
      <c r="P31" s="276"/>
      <c r="Q31" s="276"/>
      <c r="R31" s="276"/>
      <c r="S31" s="276"/>
      <c r="T31" s="276"/>
      <c r="U31" s="276"/>
      <c r="V31" s="276"/>
      <c r="W31" s="276"/>
      <c r="X31" s="279"/>
      <c r="Y31" s="276"/>
      <c r="Z31" s="276"/>
      <c r="AA31" s="276"/>
      <c r="AB31" s="197"/>
      <c r="AC31" s="454"/>
    </row>
    <row r="32" spans="1:29" s="7" customFormat="1" ht="33.75" customHeight="1">
      <c r="A32" s="464">
        <v>12</v>
      </c>
      <c r="B32" s="481"/>
      <c r="C32" s="13"/>
      <c r="D32" s="273" t="s">
        <v>177</v>
      </c>
      <c r="E32" s="216"/>
      <c r="F32" s="217"/>
      <c r="G32" s="217"/>
      <c r="H32" s="218"/>
      <c r="I32" s="218"/>
      <c r="J32" s="218"/>
      <c r="K32" s="218"/>
      <c r="L32" s="218"/>
      <c r="M32" s="218"/>
      <c r="N32" s="218"/>
      <c r="O32" s="218"/>
      <c r="P32" s="218"/>
      <c r="Q32" s="218"/>
      <c r="R32" s="218"/>
      <c r="S32" s="218"/>
      <c r="T32" s="218"/>
      <c r="U32" s="218"/>
      <c r="V32" s="218"/>
      <c r="W32" s="218"/>
      <c r="X32" s="221"/>
      <c r="Y32" s="218"/>
      <c r="Z32" s="218"/>
      <c r="AA32" s="218"/>
      <c r="AB32" s="196"/>
      <c r="AC32" s="453">
        <f t="shared" ref="AC32" si="8">SUM($E33:$G33)-SUM($I33:$AA33)+$AC30</f>
        <v>0</v>
      </c>
    </row>
    <row r="33" spans="1:29" s="7" customFormat="1" ht="33.75" customHeight="1" thickBot="1">
      <c r="A33" s="450"/>
      <c r="B33" s="482"/>
      <c r="C33" s="15"/>
      <c r="D33" s="274" t="s">
        <v>105</v>
      </c>
      <c r="E33" s="277"/>
      <c r="F33" s="278"/>
      <c r="G33" s="278"/>
      <c r="H33" s="276"/>
      <c r="I33" s="276"/>
      <c r="J33" s="276"/>
      <c r="K33" s="276"/>
      <c r="L33" s="276"/>
      <c r="M33" s="276"/>
      <c r="N33" s="276"/>
      <c r="O33" s="276"/>
      <c r="P33" s="276"/>
      <c r="Q33" s="276"/>
      <c r="R33" s="276"/>
      <c r="S33" s="276"/>
      <c r="T33" s="276"/>
      <c r="U33" s="276"/>
      <c r="V33" s="276"/>
      <c r="W33" s="276"/>
      <c r="X33" s="279"/>
      <c r="Y33" s="276"/>
      <c r="Z33" s="276"/>
      <c r="AA33" s="276"/>
      <c r="AB33" s="197"/>
      <c r="AC33" s="454"/>
    </row>
    <row r="34" spans="1:29" s="7" customFormat="1" ht="33.75" customHeight="1">
      <c r="A34" s="455">
        <v>13</v>
      </c>
      <c r="B34" s="481"/>
      <c r="C34" s="13"/>
      <c r="D34" s="273" t="s">
        <v>177</v>
      </c>
      <c r="E34" s="216"/>
      <c r="F34" s="217"/>
      <c r="G34" s="217"/>
      <c r="H34" s="218"/>
      <c r="I34" s="218"/>
      <c r="J34" s="218"/>
      <c r="K34" s="218"/>
      <c r="L34" s="218"/>
      <c r="M34" s="218"/>
      <c r="N34" s="218"/>
      <c r="O34" s="218"/>
      <c r="P34" s="218"/>
      <c r="Q34" s="218"/>
      <c r="R34" s="218"/>
      <c r="S34" s="218"/>
      <c r="T34" s="218"/>
      <c r="U34" s="218"/>
      <c r="V34" s="218"/>
      <c r="W34" s="218"/>
      <c r="X34" s="221"/>
      <c r="Y34" s="218"/>
      <c r="Z34" s="218"/>
      <c r="AA34" s="218"/>
      <c r="AB34" s="196"/>
      <c r="AC34" s="453">
        <f>SUM($E35:$G35)-SUM($I35:$AA35)+$AC32</f>
        <v>0</v>
      </c>
    </row>
    <row r="35" spans="1:29" s="7" customFormat="1" ht="33.75" customHeight="1" thickBot="1">
      <c r="A35" s="456"/>
      <c r="B35" s="482"/>
      <c r="C35" s="15"/>
      <c r="D35" s="274" t="s">
        <v>105</v>
      </c>
      <c r="E35" s="277"/>
      <c r="F35" s="278"/>
      <c r="G35" s="278"/>
      <c r="H35" s="276"/>
      <c r="I35" s="276"/>
      <c r="J35" s="276"/>
      <c r="K35" s="276"/>
      <c r="L35" s="276"/>
      <c r="M35" s="276"/>
      <c r="N35" s="276"/>
      <c r="O35" s="276"/>
      <c r="P35" s="276"/>
      <c r="Q35" s="276"/>
      <c r="R35" s="276"/>
      <c r="S35" s="276"/>
      <c r="T35" s="276"/>
      <c r="U35" s="276"/>
      <c r="V35" s="276"/>
      <c r="W35" s="276"/>
      <c r="X35" s="279"/>
      <c r="Y35" s="276"/>
      <c r="Z35" s="276"/>
      <c r="AA35" s="276"/>
      <c r="AB35" s="197"/>
      <c r="AC35" s="454"/>
    </row>
    <row r="36" spans="1:29" s="7" customFormat="1" ht="33.75" customHeight="1">
      <c r="A36" s="464">
        <v>14</v>
      </c>
      <c r="B36" s="481"/>
      <c r="C36" s="13"/>
      <c r="D36" s="273" t="s">
        <v>177</v>
      </c>
      <c r="E36" s="216"/>
      <c r="F36" s="217"/>
      <c r="G36" s="217"/>
      <c r="H36" s="218"/>
      <c r="I36" s="218"/>
      <c r="J36" s="218"/>
      <c r="K36" s="218"/>
      <c r="L36" s="218"/>
      <c r="M36" s="218"/>
      <c r="N36" s="218"/>
      <c r="O36" s="218"/>
      <c r="P36" s="218"/>
      <c r="Q36" s="218"/>
      <c r="R36" s="218"/>
      <c r="S36" s="218"/>
      <c r="T36" s="218"/>
      <c r="U36" s="218"/>
      <c r="V36" s="218"/>
      <c r="W36" s="218"/>
      <c r="X36" s="221"/>
      <c r="Y36" s="218"/>
      <c r="Z36" s="218"/>
      <c r="AA36" s="218"/>
      <c r="AB36" s="196"/>
      <c r="AC36" s="453">
        <f t="shared" ref="AC36" si="9">SUM($E37:$G37)-SUM($I37:$AA37)+$AC34</f>
        <v>0</v>
      </c>
    </row>
    <row r="37" spans="1:29" s="7" customFormat="1" ht="33.75" customHeight="1" thickBot="1">
      <c r="A37" s="449"/>
      <c r="B37" s="483"/>
      <c r="C37" s="15"/>
      <c r="D37" s="199" t="s">
        <v>105</v>
      </c>
      <c r="E37" s="280"/>
      <c r="F37" s="281"/>
      <c r="G37" s="281"/>
      <c r="H37" s="282"/>
      <c r="I37" s="282"/>
      <c r="J37" s="282"/>
      <c r="K37" s="282"/>
      <c r="L37" s="282"/>
      <c r="M37" s="282"/>
      <c r="N37" s="282"/>
      <c r="O37" s="282"/>
      <c r="P37" s="282"/>
      <c r="Q37" s="282"/>
      <c r="R37" s="282"/>
      <c r="S37" s="282"/>
      <c r="T37" s="282"/>
      <c r="U37" s="282"/>
      <c r="V37" s="282"/>
      <c r="W37" s="282"/>
      <c r="X37" s="283"/>
      <c r="Y37" s="282"/>
      <c r="Z37" s="282"/>
      <c r="AA37" s="282"/>
      <c r="AB37" s="194"/>
      <c r="AC37" s="465"/>
    </row>
    <row r="38" spans="1:29" s="7" customFormat="1" ht="33.75" customHeight="1">
      <c r="A38" s="455">
        <v>15</v>
      </c>
      <c r="B38" s="479"/>
      <c r="C38" s="13"/>
      <c r="D38" s="273" t="s">
        <v>177</v>
      </c>
      <c r="E38" s="216"/>
      <c r="F38" s="217"/>
      <c r="G38" s="217"/>
      <c r="H38" s="218"/>
      <c r="I38" s="218"/>
      <c r="J38" s="218"/>
      <c r="K38" s="218"/>
      <c r="L38" s="218"/>
      <c r="M38" s="218"/>
      <c r="N38" s="218"/>
      <c r="O38" s="218"/>
      <c r="P38" s="218"/>
      <c r="Q38" s="218"/>
      <c r="R38" s="218"/>
      <c r="S38" s="218"/>
      <c r="T38" s="218"/>
      <c r="U38" s="218"/>
      <c r="V38" s="218"/>
      <c r="W38" s="218"/>
      <c r="X38" s="221"/>
      <c r="Y38" s="218"/>
      <c r="Z38" s="218"/>
      <c r="AA38" s="218"/>
      <c r="AB38" s="190"/>
      <c r="AC38" s="453">
        <f t="shared" ref="AC38" si="10">SUM($E39:$G39)-SUM($I39:$AA39)+$AC36</f>
        <v>0</v>
      </c>
    </row>
    <row r="39" spans="1:29" s="7" customFormat="1" ht="33.75" customHeight="1" thickBot="1">
      <c r="A39" s="459"/>
      <c r="B39" s="480"/>
      <c r="C39" s="15"/>
      <c r="D39" s="274" t="s">
        <v>105</v>
      </c>
      <c r="E39" s="277"/>
      <c r="F39" s="278"/>
      <c r="G39" s="278"/>
      <c r="H39" s="276"/>
      <c r="I39" s="276"/>
      <c r="J39" s="276"/>
      <c r="K39" s="276"/>
      <c r="L39" s="276"/>
      <c r="M39" s="276"/>
      <c r="N39" s="276"/>
      <c r="O39" s="276"/>
      <c r="P39" s="276"/>
      <c r="Q39" s="276"/>
      <c r="R39" s="276"/>
      <c r="S39" s="276"/>
      <c r="T39" s="276"/>
      <c r="U39" s="276"/>
      <c r="V39" s="276"/>
      <c r="W39" s="276"/>
      <c r="X39" s="279"/>
      <c r="Y39" s="276"/>
      <c r="Z39" s="276"/>
      <c r="AA39" s="276"/>
      <c r="AB39" s="191"/>
      <c r="AC39" s="454"/>
    </row>
    <row r="40" spans="1:29" s="7" customFormat="1" ht="33.75" customHeight="1">
      <c r="A40" s="466">
        <v>16</v>
      </c>
      <c r="B40" s="479"/>
      <c r="C40" s="13"/>
      <c r="D40" s="273" t="s">
        <v>177</v>
      </c>
      <c r="E40" s="216"/>
      <c r="F40" s="217"/>
      <c r="G40" s="217"/>
      <c r="H40" s="218"/>
      <c r="I40" s="218"/>
      <c r="J40" s="218"/>
      <c r="K40" s="218"/>
      <c r="L40" s="218"/>
      <c r="M40" s="218"/>
      <c r="N40" s="218"/>
      <c r="O40" s="218"/>
      <c r="P40" s="218"/>
      <c r="Q40" s="218"/>
      <c r="R40" s="218"/>
      <c r="S40" s="218"/>
      <c r="T40" s="218"/>
      <c r="U40" s="218"/>
      <c r="V40" s="218"/>
      <c r="W40" s="218"/>
      <c r="X40" s="221"/>
      <c r="Y40" s="218"/>
      <c r="Z40" s="218"/>
      <c r="AA40" s="218"/>
      <c r="AB40" s="190"/>
      <c r="AC40" s="453">
        <f t="shared" ref="AC40" si="11">SUM($E41:$G41)-SUM($I41:$AA41)+$AC38</f>
        <v>0</v>
      </c>
    </row>
    <row r="41" spans="1:29" s="7" customFormat="1" ht="33.75" customHeight="1" thickBot="1">
      <c r="A41" s="467"/>
      <c r="B41" s="480"/>
      <c r="C41" s="15"/>
      <c r="D41" s="274" t="s">
        <v>105</v>
      </c>
      <c r="E41" s="277"/>
      <c r="F41" s="278"/>
      <c r="G41" s="278"/>
      <c r="H41" s="276"/>
      <c r="I41" s="276"/>
      <c r="J41" s="276"/>
      <c r="K41" s="276"/>
      <c r="L41" s="276"/>
      <c r="M41" s="276"/>
      <c r="N41" s="276"/>
      <c r="O41" s="276"/>
      <c r="P41" s="276"/>
      <c r="Q41" s="276"/>
      <c r="R41" s="276"/>
      <c r="S41" s="276"/>
      <c r="T41" s="276"/>
      <c r="U41" s="276"/>
      <c r="V41" s="276"/>
      <c r="W41" s="276"/>
      <c r="X41" s="279"/>
      <c r="Y41" s="276"/>
      <c r="Z41" s="276"/>
      <c r="AA41" s="276"/>
      <c r="AB41" s="191"/>
      <c r="AC41" s="454"/>
    </row>
    <row r="42" spans="1:29" s="7" customFormat="1" ht="33.75" customHeight="1">
      <c r="A42" s="468">
        <v>17</v>
      </c>
      <c r="B42" s="483"/>
      <c r="C42" s="13"/>
      <c r="D42" s="275" t="s">
        <v>177</v>
      </c>
      <c r="E42" s="222"/>
      <c r="F42" s="223"/>
      <c r="G42" s="223"/>
      <c r="H42" s="224"/>
      <c r="I42" s="224"/>
      <c r="J42" s="224"/>
      <c r="K42" s="224"/>
      <c r="L42" s="224"/>
      <c r="M42" s="224"/>
      <c r="N42" s="224"/>
      <c r="O42" s="224"/>
      <c r="P42" s="224"/>
      <c r="Q42" s="224"/>
      <c r="R42" s="224"/>
      <c r="S42" s="224"/>
      <c r="T42" s="224"/>
      <c r="U42" s="224"/>
      <c r="V42" s="224"/>
      <c r="W42" s="224"/>
      <c r="X42" s="224"/>
      <c r="Y42" s="224"/>
      <c r="Z42" s="224"/>
      <c r="AA42" s="224"/>
      <c r="AB42" s="195"/>
      <c r="AC42" s="453">
        <f t="shared" ref="AC42" si="12">SUM($E43:$G43)-SUM($I43:$AA43)+$AC40</f>
        <v>0</v>
      </c>
    </row>
    <row r="43" spans="1:29" s="7" customFormat="1" ht="33.75" customHeight="1" thickBot="1">
      <c r="A43" s="459"/>
      <c r="B43" s="482"/>
      <c r="C43" s="15"/>
      <c r="D43" s="274" t="s">
        <v>105</v>
      </c>
      <c r="E43" s="277"/>
      <c r="F43" s="278"/>
      <c r="G43" s="278"/>
      <c r="H43" s="276"/>
      <c r="I43" s="276"/>
      <c r="J43" s="276"/>
      <c r="K43" s="276"/>
      <c r="L43" s="276"/>
      <c r="M43" s="276"/>
      <c r="N43" s="276"/>
      <c r="O43" s="276"/>
      <c r="P43" s="276"/>
      <c r="Q43" s="276"/>
      <c r="R43" s="276"/>
      <c r="S43" s="276"/>
      <c r="T43" s="276"/>
      <c r="U43" s="276"/>
      <c r="V43" s="276"/>
      <c r="W43" s="276"/>
      <c r="X43" s="276"/>
      <c r="Y43" s="276"/>
      <c r="Z43" s="276"/>
      <c r="AA43" s="276"/>
      <c r="AB43" s="197"/>
      <c r="AC43" s="454"/>
    </row>
    <row r="44" spans="1:29" s="7" customFormat="1" ht="33.75" customHeight="1">
      <c r="A44" s="455">
        <v>18</v>
      </c>
      <c r="B44" s="481"/>
      <c r="C44" s="13"/>
      <c r="D44" s="273" t="s">
        <v>177</v>
      </c>
      <c r="E44" s="216"/>
      <c r="F44" s="217"/>
      <c r="G44" s="217"/>
      <c r="H44" s="218"/>
      <c r="I44" s="218"/>
      <c r="J44" s="218"/>
      <c r="K44" s="218"/>
      <c r="L44" s="218"/>
      <c r="M44" s="218"/>
      <c r="N44" s="218"/>
      <c r="O44" s="218"/>
      <c r="P44" s="218"/>
      <c r="Q44" s="218"/>
      <c r="R44" s="218"/>
      <c r="S44" s="218"/>
      <c r="T44" s="218"/>
      <c r="U44" s="218"/>
      <c r="V44" s="218"/>
      <c r="W44" s="218"/>
      <c r="X44" s="218"/>
      <c r="Y44" s="218"/>
      <c r="Z44" s="218"/>
      <c r="AA44" s="218"/>
      <c r="AB44" s="196"/>
      <c r="AC44" s="453">
        <f t="shared" ref="AC44" si="13">SUM($E45:$G45)-SUM($I45:$AA45)+$AC42</f>
        <v>0</v>
      </c>
    </row>
    <row r="45" spans="1:29" s="7" customFormat="1" ht="33.75" customHeight="1" thickBot="1">
      <c r="A45" s="459"/>
      <c r="B45" s="482"/>
      <c r="C45" s="15"/>
      <c r="D45" s="274" t="s">
        <v>105</v>
      </c>
      <c r="E45" s="277"/>
      <c r="F45" s="278"/>
      <c r="G45" s="278"/>
      <c r="H45" s="276"/>
      <c r="I45" s="276"/>
      <c r="J45" s="276"/>
      <c r="K45" s="276"/>
      <c r="L45" s="276"/>
      <c r="M45" s="276"/>
      <c r="N45" s="276"/>
      <c r="O45" s="276"/>
      <c r="P45" s="276"/>
      <c r="Q45" s="276"/>
      <c r="R45" s="276"/>
      <c r="S45" s="276"/>
      <c r="T45" s="276"/>
      <c r="U45" s="276"/>
      <c r="V45" s="276"/>
      <c r="W45" s="276"/>
      <c r="X45" s="276"/>
      <c r="Y45" s="276"/>
      <c r="Z45" s="276"/>
      <c r="AA45" s="276"/>
      <c r="AB45" s="197"/>
      <c r="AC45" s="454"/>
    </row>
    <row r="46" spans="1:29" s="7" customFormat="1" ht="33.75" customHeight="1">
      <c r="A46" s="455">
        <v>19</v>
      </c>
      <c r="B46" s="481"/>
      <c r="C46" s="13"/>
      <c r="D46" s="273" t="s">
        <v>177</v>
      </c>
      <c r="E46" s="216"/>
      <c r="F46" s="217"/>
      <c r="G46" s="217"/>
      <c r="H46" s="218"/>
      <c r="I46" s="218"/>
      <c r="J46" s="218"/>
      <c r="K46" s="218"/>
      <c r="L46" s="218"/>
      <c r="M46" s="218"/>
      <c r="N46" s="218"/>
      <c r="O46" s="218"/>
      <c r="P46" s="218"/>
      <c r="Q46" s="218"/>
      <c r="R46" s="218"/>
      <c r="S46" s="218"/>
      <c r="T46" s="218"/>
      <c r="U46" s="218"/>
      <c r="V46" s="218"/>
      <c r="W46" s="218"/>
      <c r="X46" s="218"/>
      <c r="Y46" s="218"/>
      <c r="Z46" s="218"/>
      <c r="AA46" s="218"/>
      <c r="AB46" s="196"/>
      <c r="AC46" s="453">
        <f t="shared" ref="AC46" si="14">SUM($E47:$G47)-SUM($I47:$AA47)+$AC44</f>
        <v>0</v>
      </c>
    </row>
    <row r="47" spans="1:29" s="7" customFormat="1" ht="33.75" customHeight="1" thickBot="1">
      <c r="A47" s="459"/>
      <c r="B47" s="482"/>
      <c r="C47" s="15"/>
      <c r="D47" s="274" t="s">
        <v>105</v>
      </c>
      <c r="E47" s="277"/>
      <c r="F47" s="278"/>
      <c r="G47" s="278"/>
      <c r="H47" s="276"/>
      <c r="I47" s="276"/>
      <c r="J47" s="276"/>
      <c r="K47" s="276"/>
      <c r="L47" s="276"/>
      <c r="M47" s="276"/>
      <c r="N47" s="276"/>
      <c r="O47" s="276"/>
      <c r="P47" s="276"/>
      <c r="Q47" s="276"/>
      <c r="R47" s="276"/>
      <c r="S47" s="276"/>
      <c r="T47" s="276"/>
      <c r="U47" s="276"/>
      <c r="V47" s="276"/>
      <c r="W47" s="276"/>
      <c r="X47" s="276"/>
      <c r="Y47" s="276"/>
      <c r="Z47" s="276"/>
      <c r="AA47" s="276"/>
      <c r="AB47" s="197"/>
      <c r="AC47" s="454"/>
    </row>
    <row r="48" spans="1:29" s="7" customFormat="1" ht="33.75" customHeight="1">
      <c r="A48" s="455">
        <v>20</v>
      </c>
      <c r="B48" s="481"/>
      <c r="C48" s="13"/>
      <c r="D48" s="273" t="s">
        <v>177</v>
      </c>
      <c r="E48" s="216"/>
      <c r="F48" s="217"/>
      <c r="G48" s="217"/>
      <c r="H48" s="218"/>
      <c r="I48" s="218"/>
      <c r="J48" s="218"/>
      <c r="K48" s="218"/>
      <c r="L48" s="218"/>
      <c r="M48" s="218"/>
      <c r="N48" s="218"/>
      <c r="O48" s="218"/>
      <c r="P48" s="218"/>
      <c r="Q48" s="218"/>
      <c r="R48" s="218"/>
      <c r="S48" s="218"/>
      <c r="T48" s="218"/>
      <c r="U48" s="218"/>
      <c r="V48" s="218"/>
      <c r="W48" s="218"/>
      <c r="X48" s="218"/>
      <c r="Y48" s="218"/>
      <c r="Z48" s="218"/>
      <c r="AA48" s="218"/>
      <c r="AB48" s="196"/>
      <c r="AC48" s="453">
        <f t="shared" ref="AC48" si="15">SUM($E49:$G49)-SUM($I49:$AA49)+$AC46</f>
        <v>0</v>
      </c>
    </row>
    <row r="49" spans="1:29" s="7" customFormat="1" ht="33.75" customHeight="1" thickBot="1">
      <c r="A49" s="459"/>
      <c r="B49" s="482"/>
      <c r="C49" s="15"/>
      <c r="D49" s="274" t="s">
        <v>105</v>
      </c>
      <c r="E49" s="277"/>
      <c r="F49" s="278"/>
      <c r="G49" s="278"/>
      <c r="H49" s="276"/>
      <c r="I49" s="276"/>
      <c r="J49" s="276"/>
      <c r="K49" s="276"/>
      <c r="L49" s="276"/>
      <c r="M49" s="276"/>
      <c r="N49" s="276"/>
      <c r="O49" s="276"/>
      <c r="P49" s="276"/>
      <c r="Q49" s="276"/>
      <c r="R49" s="276"/>
      <c r="S49" s="276"/>
      <c r="T49" s="276"/>
      <c r="U49" s="276"/>
      <c r="V49" s="276"/>
      <c r="W49" s="276"/>
      <c r="X49" s="276"/>
      <c r="Y49" s="276"/>
      <c r="Z49" s="276"/>
      <c r="AA49" s="276"/>
      <c r="AB49" s="197"/>
      <c r="AC49" s="454"/>
    </row>
    <row r="50" spans="1:29" s="7" customFormat="1" ht="33.75" customHeight="1">
      <c r="A50" s="455">
        <v>21</v>
      </c>
      <c r="B50" s="481"/>
      <c r="C50" s="13"/>
      <c r="D50" s="273" t="s">
        <v>177</v>
      </c>
      <c r="E50" s="216"/>
      <c r="F50" s="217"/>
      <c r="G50" s="217"/>
      <c r="H50" s="218"/>
      <c r="I50" s="218"/>
      <c r="J50" s="218"/>
      <c r="K50" s="218"/>
      <c r="L50" s="218"/>
      <c r="M50" s="218"/>
      <c r="N50" s="218"/>
      <c r="O50" s="218"/>
      <c r="P50" s="218"/>
      <c r="Q50" s="218"/>
      <c r="R50" s="218"/>
      <c r="S50" s="218"/>
      <c r="T50" s="218"/>
      <c r="U50" s="218"/>
      <c r="V50" s="218"/>
      <c r="W50" s="218"/>
      <c r="X50" s="218"/>
      <c r="Y50" s="218"/>
      <c r="Z50" s="218"/>
      <c r="AA50" s="218"/>
      <c r="AB50" s="196"/>
      <c r="AC50" s="453">
        <f t="shared" ref="AC50" si="16">SUM($E51:$G51)-SUM($I51:$AA51)+$AC48</f>
        <v>0</v>
      </c>
    </row>
    <row r="51" spans="1:29" s="7" customFormat="1" ht="33.75" customHeight="1" thickBot="1">
      <c r="A51" s="459"/>
      <c r="B51" s="482"/>
      <c r="C51" s="15"/>
      <c r="D51" s="274" t="s">
        <v>105</v>
      </c>
      <c r="E51" s="277"/>
      <c r="F51" s="278"/>
      <c r="G51" s="278"/>
      <c r="H51" s="276"/>
      <c r="I51" s="276"/>
      <c r="J51" s="276"/>
      <c r="K51" s="276"/>
      <c r="L51" s="276"/>
      <c r="M51" s="276"/>
      <c r="N51" s="276"/>
      <c r="O51" s="276"/>
      <c r="P51" s="276"/>
      <c r="Q51" s="276"/>
      <c r="R51" s="276"/>
      <c r="S51" s="276"/>
      <c r="T51" s="276"/>
      <c r="U51" s="276"/>
      <c r="V51" s="276"/>
      <c r="W51" s="276"/>
      <c r="X51" s="276"/>
      <c r="Y51" s="276"/>
      <c r="Z51" s="276"/>
      <c r="AA51" s="276"/>
      <c r="AB51" s="197"/>
      <c r="AC51" s="454"/>
    </row>
    <row r="52" spans="1:29" s="7" customFormat="1" ht="33.75" customHeight="1">
      <c r="A52" s="455">
        <v>22</v>
      </c>
      <c r="B52" s="481"/>
      <c r="C52" s="13"/>
      <c r="D52" s="273" t="s">
        <v>177</v>
      </c>
      <c r="E52" s="216"/>
      <c r="F52" s="217"/>
      <c r="G52" s="217"/>
      <c r="H52" s="218"/>
      <c r="I52" s="218"/>
      <c r="J52" s="218"/>
      <c r="K52" s="218"/>
      <c r="L52" s="218"/>
      <c r="M52" s="218"/>
      <c r="N52" s="218"/>
      <c r="O52" s="218"/>
      <c r="P52" s="218"/>
      <c r="Q52" s="218"/>
      <c r="R52" s="218"/>
      <c r="S52" s="218"/>
      <c r="T52" s="218"/>
      <c r="U52" s="218"/>
      <c r="V52" s="218"/>
      <c r="W52" s="218"/>
      <c r="X52" s="218"/>
      <c r="Y52" s="218"/>
      <c r="Z52" s="218"/>
      <c r="AA52" s="218"/>
      <c r="AB52" s="196"/>
      <c r="AC52" s="453">
        <f t="shared" ref="AC52" si="17">SUM($E53:$G53)-SUM($I53:$AA53)+$AC50</f>
        <v>0</v>
      </c>
    </row>
    <row r="53" spans="1:29" s="7" customFormat="1" ht="33.75" customHeight="1" thickBot="1">
      <c r="A53" s="459"/>
      <c r="B53" s="482"/>
      <c r="C53" s="15"/>
      <c r="D53" s="274" t="s">
        <v>105</v>
      </c>
      <c r="E53" s="277"/>
      <c r="F53" s="278"/>
      <c r="G53" s="278"/>
      <c r="H53" s="276"/>
      <c r="I53" s="276"/>
      <c r="J53" s="276"/>
      <c r="K53" s="276"/>
      <c r="L53" s="276"/>
      <c r="M53" s="276"/>
      <c r="N53" s="276"/>
      <c r="O53" s="276"/>
      <c r="P53" s="276"/>
      <c r="Q53" s="276"/>
      <c r="R53" s="276"/>
      <c r="S53" s="276"/>
      <c r="T53" s="276"/>
      <c r="U53" s="276"/>
      <c r="V53" s="276"/>
      <c r="W53" s="276"/>
      <c r="X53" s="276"/>
      <c r="Y53" s="276"/>
      <c r="Z53" s="276"/>
      <c r="AA53" s="276"/>
      <c r="AB53" s="197"/>
      <c r="AC53" s="454"/>
    </row>
    <row r="54" spans="1:29" s="7" customFormat="1" ht="33.75" customHeight="1">
      <c r="A54" s="455">
        <v>23</v>
      </c>
      <c r="B54" s="481"/>
      <c r="C54" s="13"/>
      <c r="D54" s="273" t="s">
        <v>177</v>
      </c>
      <c r="E54" s="216"/>
      <c r="F54" s="217"/>
      <c r="G54" s="217"/>
      <c r="H54" s="218"/>
      <c r="I54" s="218"/>
      <c r="J54" s="218"/>
      <c r="K54" s="218"/>
      <c r="L54" s="218"/>
      <c r="M54" s="218"/>
      <c r="N54" s="218"/>
      <c r="O54" s="218"/>
      <c r="P54" s="218"/>
      <c r="Q54" s="218"/>
      <c r="R54" s="218"/>
      <c r="S54" s="218"/>
      <c r="T54" s="218"/>
      <c r="U54" s="218"/>
      <c r="V54" s="218"/>
      <c r="W54" s="218"/>
      <c r="X54" s="218"/>
      <c r="Y54" s="218"/>
      <c r="Z54" s="218"/>
      <c r="AA54" s="218"/>
      <c r="AB54" s="196"/>
      <c r="AC54" s="453">
        <f t="shared" ref="AC54" si="18">SUM($E55:$G55)-SUM($I55:$AA55)+$AC52</f>
        <v>0</v>
      </c>
    </row>
    <row r="55" spans="1:29" s="7" customFormat="1" ht="33.75" customHeight="1" thickBot="1">
      <c r="A55" s="459"/>
      <c r="B55" s="482"/>
      <c r="C55" s="15"/>
      <c r="D55" s="274" t="s">
        <v>105</v>
      </c>
      <c r="E55" s="277"/>
      <c r="F55" s="278"/>
      <c r="G55" s="278"/>
      <c r="H55" s="276"/>
      <c r="I55" s="276"/>
      <c r="J55" s="276"/>
      <c r="K55" s="276"/>
      <c r="L55" s="276"/>
      <c r="M55" s="276"/>
      <c r="N55" s="276"/>
      <c r="O55" s="276"/>
      <c r="P55" s="276"/>
      <c r="Q55" s="276"/>
      <c r="R55" s="276"/>
      <c r="S55" s="276"/>
      <c r="T55" s="276"/>
      <c r="U55" s="276"/>
      <c r="V55" s="276"/>
      <c r="W55" s="276"/>
      <c r="X55" s="276"/>
      <c r="Y55" s="276"/>
      <c r="Z55" s="276"/>
      <c r="AA55" s="276"/>
      <c r="AB55" s="197"/>
      <c r="AC55" s="454"/>
    </row>
    <row r="56" spans="1:29" s="7" customFormat="1" ht="33.75" customHeight="1">
      <c r="A56" s="455">
        <v>24</v>
      </c>
      <c r="B56" s="481"/>
      <c r="C56" s="13"/>
      <c r="D56" s="273" t="s">
        <v>177</v>
      </c>
      <c r="E56" s="216"/>
      <c r="F56" s="217"/>
      <c r="G56" s="217"/>
      <c r="H56" s="218"/>
      <c r="I56" s="218"/>
      <c r="J56" s="218"/>
      <c r="K56" s="218"/>
      <c r="L56" s="218"/>
      <c r="M56" s="218"/>
      <c r="N56" s="218"/>
      <c r="O56" s="218"/>
      <c r="P56" s="218"/>
      <c r="Q56" s="218"/>
      <c r="R56" s="218"/>
      <c r="S56" s="218"/>
      <c r="T56" s="218"/>
      <c r="U56" s="218"/>
      <c r="V56" s="218"/>
      <c r="W56" s="218"/>
      <c r="X56" s="218"/>
      <c r="Y56" s="218"/>
      <c r="Z56" s="218"/>
      <c r="AA56" s="218"/>
      <c r="AB56" s="196"/>
      <c r="AC56" s="453">
        <f t="shared" ref="AC56" si="19">SUM($E57:$G57)-SUM($I57:$AA57)+$AC54</f>
        <v>0</v>
      </c>
    </row>
    <row r="57" spans="1:29" s="7" customFormat="1" ht="33.75" customHeight="1" thickBot="1">
      <c r="A57" s="459"/>
      <c r="B57" s="482"/>
      <c r="C57" s="15"/>
      <c r="D57" s="274" t="s">
        <v>105</v>
      </c>
      <c r="E57" s="277"/>
      <c r="F57" s="278"/>
      <c r="G57" s="278"/>
      <c r="H57" s="276"/>
      <c r="I57" s="276"/>
      <c r="J57" s="276"/>
      <c r="K57" s="276"/>
      <c r="L57" s="276"/>
      <c r="M57" s="276"/>
      <c r="N57" s="276"/>
      <c r="O57" s="276"/>
      <c r="P57" s="276"/>
      <c r="Q57" s="276"/>
      <c r="R57" s="276"/>
      <c r="S57" s="276"/>
      <c r="T57" s="276"/>
      <c r="U57" s="276"/>
      <c r="V57" s="276"/>
      <c r="W57" s="276"/>
      <c r="X57" s="276"/>
      <c r="Y57" s="276"/>
      <c r="Z57" s="276"/>
      <c r="AA57" s="276"/>
      <c r="AB57" s="197"/>
      <c r="AC57" s="454"/>
    </row>
    <row r="58" spans="1:29" s="7" customFormat="1" ht="33.75" customHeight="1">
      <c r="A58" s="455">
        <v>25</v>
      </c>
      <c r="B58" s="481"/>
      <c r="C58" s="13"/>
      <c r="D58" s="273" t="s">
        <v>177</v>
      </c>
      <c r="E58" s="216"/>
      <c r="F58" s="217"/>
      <c r="G58" s="217"/>
      <c r="H58" s="218"/>
      <c r="I58" s="218"/>
      <c r="J58" s="218"/>
      <c r="K58" s="218"/>
      <c r="L58" s="218"/>
      <c r="M58" s="218"/>
      <c r="N58" s="218"/>
      <c r="O58" s="218"/>
      <c r="P58" s="218"/>
      <c r="Q58" s="218"/>
      <c r="R58" s="218"/>
      <c r="S58" s="218"/>
      <c r="T58" s="218"/>
      <c r="U58" s="218"/>
      <c r="V58" s="218"/>
      <c r="W58" s="218"/>
      <c r="X58" s="218"/>
      <c r="Y58" s="218"/>
      <c r="Z58" s="218"/>
      <c r="AA58" s="218"/>
      <c r="AB58" s="196"/>
      <c r="AC58" s="453">
        <f t="shared" ref="AC58" si="20">SUM($E59:$G59)-SUM($I59:$AA59)+$AC56</f>
        <v>0</v>
      </c>
    </row>
    <row r="59" spans="1:29" s="7" customFormat="1" ht="33.75" customHeight="1" thickBot="1">
      <c r="A59" s="459"/>
      <c r="B59" s="482"/>
      <c r="C59" s="15"/>
      <c r="D59" s="274" t="s">
        <v>105</v>
      </c>
      <c r="E59" s="277"/>
      <c r="F59" s="278"/>
      <c r="G59" s="278"/>
      <c r="H59" s="276"/>
      <c r="I59" s="276"/>
      <c r="J59" s="276"/>
      <c r="K59" s="276"/>
      <c r="L59" s="276"/>
      <c r="M59" s="276"/>
      <c r="N59" s="276"/>
      <c r="O59" s="276"/>
      <c r="P59" s="276"/>
      <c r="Q59" s="276"/>
      <c r="R59" s="276"/>
      <c r="S59" s="276"/>
      <c r="T59" s="276"/>
      <c r="U59" s="276"/>
      <c r="V59" s="276"/>
      <c r="W59" s="276"/>
      <c r="X59" s="276"/>
      <c r="Y59" s="276"/>
      <c r="Z59" s="276"/>
      <c r="AA59" s="276"/>
      <c r="AB59" s="197"/>
      <c r="AC59" s="454"/>
    </row>
    <row r="60" spans="1:29" s="7" customFormat="1" ht="33.75" customHeight="1">
      <c r="A60" s="455">
        <v>26</v>
      </c>
      <c r="B60" s="481"/>
      <c r="C60" s="13"/>
      <c r="D60" s="273" t="s">
        <v>177</v>
      </c>
      <c r="E60" s="216"/>
      <c r="F60" s="217"/>
      <c r="G60" s="217"/>
      <c r="H60" s="218"/>
      <c r="I60" s="218"/>
      <c r="J60" s="218"/>
      <c r="K60" s="218"/>
      <c r="L60" s="218"/>
      <c r="M60" s="218"/>
      <c r="N60" s="218"/>
      <c r="O60" s="218"/>
      <c r="P60" s="218"/>
      <c r="Q60" s="218"/>
      <c r="R60" s="218"/>
      <c r="S60" s="218"/>
      <c r="T60" s="218"/>
      <c r="U60" s="218"/>
      <c r="V60" s="218"/>
      <c r="W60" s="218"/>
      <c r="X60" s="218"/>
      <c r="Y60" s="218"/>
      <c r="Z60" s="218"/>
      <c r="AA60" s="218"/>
      <c r="AB60" s="196"/>
      <c r="AC60" s="453">
        <f t="shared" ref="AC60" si="21">SUM($E61:$G61)-SUM($I61:$AA61)+$AC58</f>
        <v>0</v>
      </c>
    </row>
    <row r="61" spans="1:29" s="7" customFormat="1" ht="33.75" customHeight="1" thickBot="1">
      <c r="A61" s="459"/>
      <c r="B61" s="482"/>
      <c r="C61" s="15"/>
      <c r="D61" s="274" t="s">
        <v>105</v>
      </c>
      <c r="E61" s="277"/>
      <c r="F61" s="278"/>
      <c r="G61" s="278"/>
      <c r="H61" s="220"/>
      <c r="I61" s="276"/>
      <c r="J61" s="276"/>
      <c r="K61" s="276"/>
      <c r="L61" s="276"/>
      <c r="M61" s="276"/>
      <c r="N61" s="276"/>
      <c r="O61" s="276"/>
      <c r="P61" s="276"/>
      <c r="Q61" s="276"/>
      <c r="R61" s="276"/>
      <c r="S61" s="276"/>
      <c r="T61" s="276"/>
      <c r="U61" s="276"/>
      <c r="V61" s="276"/>
      <c r="W61" s="276"/>
      <c r="X61" s="276"/>
      <c r="Y61" s="276"/>
      <c r="Z61" s="276"/>
      <c r="AA61" s="276"/>
      <c r="AB61" s="197"/>
      <c r="AC61" s="454"/>
    </row>
    <row r="62" spans="1:29" s="7" customFormat="1" ht="33.75" customHeight="1">
      <c r="A62" s="455">
        <v>27</v>
      </c>
      <c r="B62" s="481"/>
      <c r="C62" s="13"/>
      <c r="D62" s="273" t="s">
        <v>177</v>
      </c>
      <c r="E62" s="216"/>
      <c r="F62" s="217"/>
      <c r="G62" s="217"/>
      <c r="H62" s="218"/>
      <c r="I62" s="218"/>
      <c r="J62" s="218"/>
      <c r="K62" s="218"/>
      <c r="L62" s="218"/>
      <c r="M62" s="218"/>
      <c r="N62" s="218"/>
      <c r="O62" s="218"/>
      <c r="P62" s="218"/>
      <c r="Q62" s="218"/>
      <c r="R62" s="218"/>
      <c r="S62" s="218"/>
      <c r="T62" s="218"/>
      <c r="U62" s="218"/>
      <c r="V62" s="218"/>
      <c r="W62" s="218"/>
      <c r="X62" s="218"/>
      <c r="Y62" s="218"/>
      <c r="Z62" s="218"/>
      <c r="AA62" s="218"/>
      <c r="AB62" s="196"/>
      <c r="AC62" s="453">
        <f t="shared" ref="AC62" si="22">SUM($E63:$G63)-SUM($I63:$AA63)+$AC60</f>
        <v>0</v>
      </c>
    </row>
    <row r="63" spans="1:29" s="7" customFormat="1" ht="33.75" customHeight="1" thickBot="1">
      <c r="A63" s="459"/>
      <c r="B63" s="482"/>
      <c r="C63" s="15"/>
      <c r="D63" s="274" t="s">
        <v>105</v>
      </c>
      <c r="E63" s="277"/>
      <c r="F63" s="278"/>
      <c r="G63" s="278"/>
      <c r="H63" s="276"/>
      <c r="I63" s="276"/>
      <c r="J63" s="276"/>
      <c r="K63" s="276"/>
      <c r="L63" s="276"/>
      <c r="M63" s="276"/>
      <c r="N63" s="276"/>
      <c r="O63" s="276"/>
      <c r="P63" s="276"/>
      <c r="Q63" s="276"/>
      <c r="R63" s="276"/>
      <c r="S63" s="276"/>
      <c r="T63" s="276"/>
      <c r="U63" s="276"/>
      <c r="V63" s="276"/>
      <c r="W63" s="276"/>
      <c r="X63" s="276"/>
      <c r="Y63" s="276"/>
      <c r="Z63" s="276"/>
      <c r="AA63" s="276"/>
      <c r="AB63" s="197"/>
      <c r="AC63" s="454"/>
    </row>
    <row r="64" spans="1:29" s="7" customFormat="1" ht="33.75" customHeight="1">
      <c r="A64" s="455">
        <v>28</v>
      </c>
      <c r="B64" s="481"/>
      <c r="C64" s="13"/>
      <c r="D64" s="273" t="s">
        <v>177</v>
      </c>
      <c r="E64" s="216"/>
      <c r="F64" s="217"/>
      <c r="G64" s="217"/>
      <c r="H64" s="218"/>
      <c r="I64" s="218"/>
      <c r="J64" s="218"/>
      <c r="K64" s="218"/>
      <c r="L64" s="218"/>
      <c r="M64" s="218"/>
      <c r="N64" s="218"/>
      <c r="O64" s="218"/>
      <c r="P64" s="218"/>
      <c r="Q64" s="218"/>
      <c r="R64" s="218"/>
      <c r="S64" s="218"/>
      <c r="T64" s="218"/>
      <c r="U64" s="218"/>
      <c r="V64" s="218"/>
      <c r="W64" s="218"/>
      <c r="X64" s="218"/>
      <c r="Y64" s="218"/>
      <c r="Z64" s="218"/>
      <c r="AA64" s="218"/>
      <c r="AB64" s="196"/>
      <c r="AC64" s="453">
        <f t="shared" ref="AC64" si="23">SUM($E65:$G65)-SUM($I65:$AA65)+$AC62</f>
        <v>0</v>
      </c>
    </row>
    <row r="65" spans="1:29" s="7" customFormat="1" ht="33.75" customHeight="1" thickBot="1">
      <c r="A65" s="459"/>
      <c r="B65" s="482"/>
      <c r="C65" s="15"/>
      <c r="D65" s="274" t="s">
        <v>105</v>
      </c>
      <c r="E65" s="277"/>
      <c r="F65" s="278"/>
      <c r="G65" s="278"/>
      <c r="H65" s="276"/>
      <c r="I65" s="276"/>
      <c r="J65" s="276"/>
      <c r="K65" s="276"/>
      <c r="L65" s="276"/>
      <c r="M65" s="276"/>
      <c r="N65" s="276"/>
      <c r="O65" s="276"/>
      <c r="P65" s="276"/>
      <c r="Q65" s="276"/>
      <c r="R65" s="276"/>
      <c r="S65" s="276"/>
      <c r="T65" s="276"/>
      <c r="U65" s="276"/>
      <c r="V65" s="276"/>
      <c r="W65" s="276"/>
      <c r="X65" s="276"/>
      <c r="Y65" s="276"/>
      <c r="Z65" s="276"/>
      <c r="AA65" s="276"/>
      <c r="AB65" s="197"/>
      <c r="AC65" s="454"/>
    </row>
    <row r="66" spans="1:29" s="7" customFormat="1" ht="33.75" customHeight="1">
      <c r="A66" s="455">
        <v>29</v>
      </c>
      <c r="B66" s="481"/>
      <c r="C66" s="13"/>
      <c r="D66" s="273" t="s">
        <v>177</v>
      </c>
      <c r="E66" s="216"/>
      <c r="F66" s="217"/>
      <c r="G66" s="217"/>
      <c r="H66" s="218"/>
      <c r="I66" s="218"/>
      <c r="J66" s="218"/>
      <c r="K66" s="218"/>
      <c r="L66" s="218"/>
      <c r="M66" s="218"/>
      <c r="N66" s="218"/>
      <c r="O66" s="218"/>
      <c r="P66" s="218"/>
      <c r="Q66" s="218"/>
      <c r="R66" s="218"/>
      <c r="S66" s="218"/>
      <c r="T66" s="218"/>
      <c r="U66" s="218"/>
      <c r="V66" s="218"/>
      <c r="W66" s="218"/>
      <c r="X66" s="218"/>
      <c r="Y66" s="218"/>
      <c r="Z66" s="218"/>
      <c r="AA66" s="218"/>
      <c r="AB66" s="196"/>
      <c r="AC66" s="453">
        <f t="shared" ref="AC66" si="24">SUM($E67:$G67)-SUM($I67:$AA67)+$AC64</f>
        <v>0</v>
      </c>
    </row>
    <row r="67" spans="1:29" s="7" customFormat="1" ht="33.75" customHeight="1" thickBot="1">
      <c r="A67" s="459"/>
      <c r="B67" s="482"/>
      <c r="C67" s="15"/>
      <c r="D67" s="274" t="s">
        <v>105</v>
      </c>
      <c r="E67" s="277"/>
      <c r="F67" s="278"/>
      <c r="G67" s="278"/>
      <c r="H67" s="276"/>
      <c r="I67" s="276"/>
      <c r="J67" s="276"/>
      <c r="K67" s="276"/>
      <c r="L67" s="276"/>
      <c r="M67" s="276"/>
      <c r="N67" s="276"/>
      <c r="O67" s="276"/>
      <c r="P67" s="276"/>
      <c r="Q67" s="276"/>
      <c r="R67" s="276"/>
      <c r="S67" s="276"/>
      <c r="T67" s="276"/>
      <c r="U67" s="276"/>
      <c r="V67" s="276"/>
      <c r="W67" s="276"/>
      <c r="X67" s="276"/>
      <c r="Y67" s="276"/>
      <c r="Z67" s="276"/>
      <c r="AA67" s="276"/>
      <c r="AB67" s="197"/>
      <c r="AC67" s="454"/>
    </row>
    <row r="68" spans="1:29" s="7" customFormat="1" ht="33.75" customHeight="1">
      <c r="A68" s="455">
        <v>30</v>
      </c>
      <c r="B68" s="481"/>
      <c r="C68" s="13"/>
      <c r="D68" s="273" t="s">
        <v>177</v>
      </c>
      <c r="E68" s="216"/>
      <c r="F68" s="217"/>
      <c r="G68" s="217"/>
      <c r="H68" s="218"/>
      <c r="I68" s="218"/>
      <c r="J68" s="218"/>
      <c r="K68" s="218"/>
      <c r="L68" s="218"/>
      <c r="M68" s="218"/>
      <c r="N68" s="218"/>
      <c r="O68" s="218"/>
      <c r="P68" s="218"/>
      <c r="Q68" s="218"/>
      <c r="R68" s="218"/>
      <c r="S68" s="218"/>
      <c r="T68" s="218"/>
      <c r="U68" s="218"/>
      <c r="V68" s="218"/>
      <c r="W68" s="218"/>
      <c r="X68" s="218"/>
      <c r="Y68" s="218"/>
      <c r="Z68" s="218"/>
      <c r="AA68" s="218"/>
      <c r="AB68" s="196"/>
      <c r="AC68" s="453">
        <f t="shared" ref="AC68" si="25">SUM($E69:$G69)-SUM($I69:$AA69)+$AC66</f>
        <v>0</v>
      </c>
    </row>
    <row r="69" spans="1:29" s="7" customFormat="1" ht="33.75" customHeight="1" thickBot="1">
      <c r="A69" s="459"/>
      <c r="B69" s="482"/>
      <c r="C69" s="15"/>
      <c r="D69" s="274" t="s">
        <v>105</v>
      </c>
      <c r="E69" s="277"/>
      <c r="F69" s="278"/>
      <c r="G69" s="278"/>
      <c r="H69" s="276"/>
      <c r="I69" s="276"/>
      <c r="J69" s="276"/>
      <c r="K69" s="276"/>
      <c r="L69" s="276"/>
      <c r="M69" s="276"/>
      <c r="N69" s="276"/>
      <c r="O69" s="276"/>
      <c r="P69" s="276"/>
      <c r="Q69" s="276"/>
      <c r="R69" s="276"/>
      <c r="S69" s="276"/>
      <c r="T69" s="276"/>
      <c r="U69" s="276"/>
      <c r="V69" s="276"/>
      <c r="W69" s="276"/>
      <c r="X69" s="276"/>
      <c r="Y69" s="276"/>
      <c r="Z69" s="276"/>
      <c r="AA69" s="276"/>
      <c r="AB69" s="197"/>
      <c r="AC69" s="454"/>
    </row>
    <row r="70" spans="1:29" s="7" customFormat="1" ht="33.75" customHeight="1">
      <c r="A70" s="455">
        <v>31</v>
      </c>
      <c r="B70" s="481"/>
      <c r="C70" s="13"/>
      <c r="D70" s="273" t="s">
        <v>177</v>
      </c>
      <c r="E70" s="216"/>
      <c r="F70" s="217"/>
      <c r="G70" s="217"/>
      <c r="H70" s="218"/>
      <c r="I70" s="218"/>
      <c r="J70" s="218"/>
      <c r="K70" s="218"/>
      <c r="L70" s="218"/>
      <c r="M70" s="218"/>
      <c r="N70" s="218"/>
      <c r="O70" s="218"/>
      <c r="P70" s="218"/>
      <c r="Q70" s="218"/>
      <c r="R70" s="218"/>
      <c r="S70" s="218"/>
      <c r="T70" s="218"/>
      <c r="U70" s="218"/>
      <c r="V70" s="218"/>
      <c r="W70" s="218"/>
      <c r="X70" s="218"/>
      <c r="Y70" s="218"/>
      <c r="Z70" s="218"/>
      <c r="AA70" s="218"/>
      <c r="AB70" s="196"/>
      <c r="AC70" s="453">
        <f t="shared" ref="AC70" si="26">SUM($E71:$G71)-SUM($I71:$AA71)+$AC68</f>
        <v>0</v>
      </c>
    </row>
    <row r="71" spans="1:29" s="7" customFormat="1" ht="33.75" customHeight="1" thickBot="1">
      <c r="A71" s="459"/>
      <c r="B71" s="482"/>
      <c r="C71" s="15"/>
      <c r="D71" s="274" t="s">
        <v>105</v>
      </c>
      <c r="E71" s="277"/>
      <c r="F71" s="278"/>
      <c r="G71" s="278"/>
      <c r="H71" s="276"/>
      <c r="I71" s="276"/>
      <c r="J71" s="276"/>
      <c r="K71" s="276"/>
      <c r="L71" s="276"/>
      <c r="M71" s="276"/>
      <c r="N71" s="276"/>
      <c r="O71" s="276"/>
      <c r="P71" s="276"/>
      <c r="Q71" s="276"/>
      <c r="R71" s="276"/>
      <c r="S71" s="276"/>
      <c r="T71" s="276"/>
      <c r="U71" s="276"/>
      <c r="V71" s="276"/>
      <c r="W71" s="276"/>
      <c r="X71" s="276"/>
      <c r="Y71" s="276"/>
      <c r="Z71" s="276"/>
      <c r="AA71" s="276"/>
      <c r="AB71" s="197"/>
      <c r="AC71" s="454"/>
    </row>
    <row r="72" spans="1:29" ht="46.5" customHeight="1">
      <c r="A72" s="469" t="s">
        <v>331</v>
      </c>
      <c r="B72" s="470"/>
      <c r="C72" s="470"/>
      <c r="D72" s="471"/>
      <c r="E72" s="192">
        <f>SUM(E$10:E$71)</f>
        <v>0</v>
      </c>
      <c r="F72" s="192">
        <f t="shared" ref="F72" si="27">SUM(F$10:F$71)</f>
        <v>0</v>
      </c>
      <c r="G72" s="192">
        <f>SUM(G$10:G$71)</f>
        <v>0</v>
      </c>
      <c r="H72" s="192">
        <f>SUMIF($D$10:$D$41,$D72,H$10:H$41)</f>
        <v>0</v>
      </c>
      <c r="I72" s="192">
        <f>SUM(I$10:I$71)</f>
        <v>0</v>
      </c>
      <c r="J72" s="192">
        <f t="shared" ref="J72:AA72" si="28">SUM(J$10:J$71)</f>
        <v>0</v>
      </c>
      <c r="K72" s="192">
        <f t="shared" si="28"/>
        <v>0</v>
      </c>
      <c r="L72" s="192">
        <f t="shared" si="28"/>
        <v>0</v>
      </c>
      <c r="M72" s="192">
        <f t="shared" si="28"/>
        <v>0</v>
      </c>
      <c r="N72" s="192">
        <f t="shared" si="28"/>
        <v>0</v>
      </c>
      <c r="O72" s="192">
        <f t="shared" si="28"/>
        <v>0</v>
      </c>
      <c r="P72" s="192">
        <f t="shared" si="28"/>
        <v>0</v>
      </c>
      <c r="Q72" s="192">
        <f t="shared" si="28"/>
        <v>0</v>
      </c>
      <c r="R72" s="192">
        <f t="shared" si="28"/>
        <v>0</v>
      </c>
      <c r="S72" s="192">
        <f t="shared" si="28"/>
        <v>0</v>
      </c>
      <c r="T72" s="192">
        <f t="shared" si="28"/>
        <v>0</v>
      </c>
      <c r="U72" s="192">
        <f t="shared" si="28"/>
        <v>0</v>
      </c>
      <c r="V72" s="192">
        <f t="shared" si="28"/>
        <v>0</v>
      </c>
      <c r="W72" s="192">
        <f t="shared" si="28"/>
        <v>0</v>
      </c>
      <c r="X72" s="192">
        <f t="shared" si="28"/>
        <v>0</v>
      </c>
      <c r="Y72" s="192">
        <f t="shared" si="28"/>
        <v>0</v>
      </c>
      <c r="Z72" s="192">
        <f t="shared" si="28"/>
        <v>0</v>
      </c>
      <c r="AA72" s="192">
        <f t="shared" si="28"/>
        <v>0</v>
      </c>
      <c r="AB72" s="197">
        <f>SUMIF($D$10:$D$41,$D72,AB$10:AB$41)</f>
        <v>0</v>
      </c>
      <c r="AC72" s="193"/>
    </row>
    <row r="73" spans="1:29" ht="33.75" customHeight="1">
      <c r="B73" s="43" t="s">
        <v>330</v>
      </c>
    </row>
  </sheetData>
  <sheetProtection sheet="1" objects="1" scenarios="1" selectLockedCells="1"/>
  <mergeCells count="136">
    <mergeCell ref="E5:G5"/>
    <mergeCell ref="I5:AA5"/>
    <mergeCell ref="E6:E7"/>
    <mergeCell ref="F6:F9"/>
    <mergeCell ref="G6:G7"/>
    <mergeCell ref="H6:H9"/>
    <mergeCell ref="A2:A9"/>
    <mergeCell ref="B2:B4"/>
    <mergeCell ref="C2:C4"/>
    <mergeCell ref="D2:G4"/>
    <mergeCell ref="H2:H4"/>
    <mergeCell ref="I2:AA4"/>
    <mergeCell ref="B6:B9"/>
    <mergeCell ref="C6:C9"/>
    <mergeCell ref="D6:D9"/>
    <mergeCell ref="J6:J9"/>
    <mergeCell ref="V6:V9"/>
    <mergeCell ref="K6:K9"/>
    <mergeCell ref="L6:L9"/>
    <mergeCell ref="M6:M9"/>
    <mergeCell ref="N6:N9"/>
    <mergeCell ref="O6:O9"/>
    <mergeCell ref="P6:P9"/>
    <mergeCell ref="R6:R9"/>
    <mergeCell ref="AB2:AB3"/>
    <mergeCell ref="AC2:AC3"/>
    <mergeCell ref="AB4:AB6"/>
    <mergeCell ref="AC4:AC6"/>
    <mergeCell ref="A12:A13"/>
    <mergeCell ref="B12:B13"/>
    <mergeCell ref="AC12:AC13"/>
    <mergeCell ref="A14:A15"/>
    <mergeCell ref="B14:B15"/>
    <mergeCell ref="AC14:AC15"/>
    <mergeCell ref="AB7:AB9"/>
    <mergeCell ref="AC7:AC9"/>
    <mergeCell ref="E8:E9"/>
    <mergeCell ref="G8:G9"/>
    <mergeCell ref="A10:A11"/>
    <mergeCell ref="B10:B11"/>
    <mergeCell ref="AC10:AC11"/>
    <mergeCell ref="W6:W9"/>
    <mergeCell ref="X6:X9"/>
    <mergeCell ref="Y6:Y9"/>
    <mergeCell ref="Z6:Z9"/>
    <mergeCell ref="I7:I8"/>
    <mergeCell ref="AA7:AA8"/>
    <mergeCell ref="Q6:Q9"/>
    <mergeCell ref="S6:S9"/>
    <mergeCell ref="T6:T9"/>
    <mergeCell ref="U6:U9"/>
    <mergeCell ref="A20:A21"/>
    <mergeCell ref="B20:B21"/>
    <mergeCell ref="AC20:AC21"/>
    <mergeCell ref="A22:A23"/>
    <mergeCell ref="B22:B23"/>
    <mergeCell ref="AC22:AC23"/>
    <mergeCell ref="A16:A17"/>
    <mergeCell ref="B16:B17"/>
    <mergeCell ref="AC16:AC17"/>
    <mergeCell ref="A18:A19"/>
    <mergeCell ref="B18:B19"/>
    <mergeCell ref="AC18:AC19"/>
    <mergeCell ref="A28:A29"/>
    <mergeCell ref="B28:B29"/>
    <mergeCell ref="AC28:AC29"/>
    <mergeCell ref="A30:A31"/>
    <mergeCell ref="B30:B31"/>
    <mergeCell ref="AC30:AC31"/>
    <mergeCell ref="A24:A25"/>
    <mergeCell ref="B24:B25"/>
    <mergeCell ref="AC24:AC25"/>
    <mergeCell ref="A26:A27"/>
    <mergeCell ref="B26:B27"/>
    <mergeCell ref="AC26:AC27"/>
    <mergeCell ref="A36:A37"/>
    <mergeCell ref="B36:B37"/>
    <mergeCell ref="AC36:AC37"/>
    <mergeCell ref="A38:A39"/>
    <mergeCell ref="B38:B39"/>
    <mergeCell ref="AC38:AC39"/>
    <mergeCell ref="A32:A33"/>
    <mergeCell ref="B32:B33"/>
    <mergeCell ref="AC32:AC33"/>
    <mergeCell ref="A34:A35"/>
    <mergeCell ref="B34:B35"/>
    <mergeCell ref="AC34:AC35"/>
    <mergeCell ref="A44:A45"/>
    <mergeCell ref="B44:B45"/>
    <mergeCell ref="AC44:AC45"/>
    <mergeCell ref="A46:A47"/>
    <mergeCell ref="B46:B47"/>
    <mergeCell ref="AC46:AC47"/>
    <mergeCell ref="A40:A41"/>
    <mergeCell ref="B40:B41"/>
    <mergeCell ref="AC40:AC41"/>
    <mergeCell ref="A42:A43"/>
    <mergeCell ref="B42:B43"/>
    <mergeCell ref="AC42:AC43"/>
    <mergeCell ref="A52:A53"/>
    <mergeCell ref="B52:B53"/>
    <mergeCell ref="AC52:AC53"/>
    <mergeCell ref="A54:A55"/>
    <mergeCell ref="B54:B55"/>
    <mergeCell ref="AC54:AC55"/>
    <mergeCell ref="A48:A49"/>
    <mergeCell ref="B48:B49"/>
    <mergeCell ref="AC48:AC49"/>
    <mergeCell ref="A50:A51"/>
    <mergeCell ref="B50:B51"/>
    <mergeCell ref="AC50:AC51"/>
    <mergeCell ref="A60:A61"/>
    <mergeCell ref="B60:B61"/>
    <mergeCell ref="AC60:AC61"/>
    <mergeCell ref="A62:A63"/>
    <mergeCell ref="B62:B63"/>
    <mergeCell ref="AC62:AC63"/>
    <mergeCell ref="A56:A57"/>
    <mergeCell ref="B56:B57"/>
    <mergeCell ref="AC56:AC57"/>
    <mergeCell ref="A58:A59"/>
    <mergeCell ref="B58:B59"/>
    <mergeCell ref="AC58:AC59"/>
    <mergeCell ref="A68:A69"/>
    <mergeCell ref="B68:B69"/>
    <mergeCell ref="AC68:AC69"/>
    <mergeCell ref="A70:A71"/>
    <mergeCell ref="B70:B71"/>
    <mergeCell ref="A72:D72"/>
    <mergeCell ref="A64:A65"/>
    <mergeCell ref="B64:B65"/>
    <mergeCell ref="AC64:AC65"/>
    <mergeCell ref="A66:A67"/>
    <mergeCell ref="B66:B67"/>
    <mergeCell ref="AC66:AC67"/>
    <mergeCell ref="AC70:AC71"/>
  </mergeCells>
  <phoneticPr fontId="1"/>
  <pageMargins left="0.47244094488188981" right="0.31496062992125984" top="0.59055118110236227" bottom="0.19685039370078741" header="0.31496062992125984" footer="0.31496062992125984"/>
  <pageSetup paperSize="9" scale="45" orientation="landscape" r:id="rId1"/>
  <rowBreaks count="1" manualBreakCount="1">
    <brk id="39" max="16383" man="1"/>
  </rowBreak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F3918-E8F8-4676-A763-53C0DA3BA3F2}">
  <dimension ref="A1:T30"/>
  <sheetViews>
    <sheetView tabSelected="1" zoomScale="70" zoomScaleNormal="70" workbookViewId="0">
      <pane xSplit="3" ySplit="3" topLeftCell="D7" activePane="bottomRight" state="frozen"/>
      <selection pane="topRight" activeCell="D1" sqref="D1"/>
      <selection pane="bottomLeft" activeCell="A4" sqref="A4"/>
      <selection pane="bottomRight" activeCell="T15" sqref="T15"/>
    </sheetView>
  </sheetViews>
  <sheetFormatPr defaultRowHeight="31.5" customHeight="1"/>
  <cols>
    <col min="1" max="1" width="0.5" customWidth="1"/>
    <col min="2" max="2" width="14.375" customWidth="1"/>
    <col min="3" max="3" width="0.5" customWidth="1"/>
    <col min="4" max="18" width="11.5" customWidth="1"/>
    <col min="19" max="19" width="12.5" customWidth="1"/>
    <col min="20" max="20" width="18.625" customWidth="1"/>
  </cols>
  <sheetData>
    <row r="1" spans="1:20" ht="48.75" customHeight="1" thickBot="1">
      <c r="F1" s="292"/>
      <c r="G1" s="285" t="s">
        <v>366</v>
      </c>
      <c r="H1" s="286"/>
      <c r="I1" s="286"/>
      <c r="J1" s="286"/>
      <c r="K1" s="286"/>
    </row>
    <row r="2" spans="1:20" s="1" customFormat="1" ht="27" customHeight="1">
      <c r="A2" s="491" t="s">
        <v>229</v>
      </c>
      <c r="B2" s="492"/>
      <c r="C2" s="493"/>
      <c r="D2" s="497">
        <v>1</v>
      </c>
      <c r="E2" s="497">
        <v>2</v>
      </c>
      <c r="F2" s="497">
        <v>3</v>
      </c>
      <c r="G2" s="497">
        <v>4</v>
      </c>
      <c r="H2" s="497">
        <v>5</v>
      </c>
      <c r="I2" s="497">
        <v>6</v>
      </c>
      <c r="J2" s="497">
        <v>7</v>
      </c>
      <c r="K2" s="497">
        <v>8</v>
      </c>
      <c r="L2" s="497">
        <v>9</v>
      </c>
      <c r="M2" s="497">
        <v>10</v>
      </c>
      <c r="N2" s="497">
        <v>11</v>
      </c>
      <c r="O2" s="497">
        <v>12</v>
      </c>
      <c r="P2" s="61" t="s">
        <v>103</v>
      </c>
      <c r="Q2" s="466" t="s">
        <v>182</v>
      </c>
      <c r="R2" s="503" t="s">
        <v>102</v>
      </c>
      <c r="S2" s="499" t="s">
        <v>183</v>
      </c>
      <c r="T2" s="500"/>
    </row>
    <row r="3" spans="1:20" s="1" customFormat="1" ht="27" customHeight="1" thickBot="1">
      <c r="A3" s="494"/>
      <c r="B3" s="495"/>
      <c r="C3" s="496"/>
      <c r="D3" s="498"/>
      <c r="E3" s="498"/>
      <c r="F3" s="498"/>
      <c r="G3" s="498"/>
      <c r="H3" s="498"/>
      <c r="I3" s="498"/>
      <c r="J3" s="498"/>
      <c r="K3" s="498"/>
      <c r="L3" s="498"/>
      <c r="M3" s="498"/>
      <c r="N3" s="498"/>
      <c r="O3" s="498"/>
      <c r="P3" s="62" t="s">
        <v>104</v>
      </c>
      <c r="Q3" s="467"/>
      <c r="R3" s="504"/>
      <c r="S3" s="501"/>
      <c r="T3" s="502"/>
    </row>
    <row r="4" spans="1:20" ht="39" customHeight="1">
      <c r="A4" s="52"/>
      <c r="B4" s="53" t="s">
        <v>137</v>
      </c>
      <c r="C4" s="54"/>
      <c r="D4" s="245">
        <f>売上・1月</f>
        <v>0</v>
      </c>
      <c r="E4" s="246">
        <f>売上・2月</f>
        <v>0</v>
      </c>
      <c r="F4" s="245">
        <f>売上・3月</f>
        <v>0</v>
      </c>
      <c r="G4" s="245">
        <f>売上・4月</f>
        <v>0</v>
      </c>
      <c r="H4" s="245">
        <f>売上・5月</f>
        <v>0</v>
      </c>
      <c r="I4" s="245">
        <f>売上・6月</f>
        <v>0</v>
      </c>
      <c r="J4" s="245">
        <f>売上・7月</f>
        <v>0</v>
      </c>
      <c r="K4" s="245">
        <f>売上・8月</f>
        <v>0</v>
      </c>
      <c r="L4" s="245">
        <f>売上・9月</f>
        <v>0</v>
      </c>
      <c r="M4" s="245">
        <f>売上・10月</f>
        <v>0</v>
      </c>
      <c r="N4" s="245">
        <f>売上・11月</f>
        <v>0</v>
      </c>
      <c r="O4" s="245">
        <f>売上・12月</f>
        <v>0</v>
      </c>
      <c r="P4" s="239">
        <f>SUM($D4:$O4)</f>
        <v>0</v>
      </c>
      <c r="Q4" s="247"/>
      <c r="R4" s="239">
        <f>SUM($P4:$Q4)</f>
        <v>0</v>
      </c>
      <c r="S4" s="27" t="s">
        <v>181</v>
      </c>
      <c r="T4" s="239">
        <f>SUM($R$4:$R$7)</f>
        <v>0</v>
      </c>
    </row>
    <row r="5" spans="1:20" ht="31.5" customHeight="1">
      <c r="A5" s="55"/>
      <c r="B5" s="236"/>
      <c r="C5" s="237"/>
      <c r="D5" s="248"/>
      <c r="E5" s="248"/>
      <c r="F5" s="248"/>
      <c r="G5" s="248"/>
      <c r="H5" s="248"/>
      <c r="I5" s="248"/>
      <c r="J5" s="248"/>
      <c r="K5" s="248"/>
      <c r="L5" s="248"/>
      <c r="M5" s="248"/>
      <c r="N5" s="248"/>
      <c r="O5" s="248"/>
      <c r="P5" s="240">
        <f>SUM($D5:$O5)</f>
        <v>0</v>
      </c>
      <c r="Q5" s="249"/>
      <c r="R5" s="242">
        <f t="shared" ref="R5:R26" si="0">SUM($P5:$Q5)</f>
        <v>0</v>
      </c>
      <c r="S5" s="180" t="s">
        <v>301</v>
      </c>
      <c r="T5" s="262"/>
    </row>
    <row r="6" spans="1:20" ht="31.5" customHeight="1" thickBot="1">
      <c r="A6" s="55"/>
      <c r="B6" s="238"/>
      <c r="C6" s="237"/>
      <c r="D6" s="248"/>
      <c r="E6" s="248"/>
      <c r="F6" s="248"/>
      <c r="G6" s="248"/>
      <c r="H6" s="248"/>
      <c r="I6" s="248"/>
      <c r="J6" s="248"/>
      <c r="K6" s="248"/>
      <c r="L6" s="248"/>
      <c r="M6" s="248"/>
      <c r="N6" s="248"/>
      <c r="O6" s="248"/>
      <c r="P6" s="240">
        <f t="shared" ref="P6:P25" si="1">SUM($D6:$O6)</f>
        <v>0</v>
      </c>
      <c r="Q6" s="249"/>
      <c r="R6" s="242">
        <f t="shared" si="0"/>
        <v>0</v>
      </c>
      <c r="S6" s="207" t="s">
        <v>287</v>
      </c>
      <c r="T6" s="241">
        <f>SUM($T$4:$T$5)</f>
        <v>0</v>
      </c>
    </row>
    <row r="7" spans="1:20" ht="31.5" customHeight="1" thickBot="1">
      <c r="A7" s="55"/>
      <c r="B7" s="56" t="s">
        <v>100</v>
      </c>
      <c r="C7" s="58"/>
      <c r="D7" s="250">
        <f>雑収入・1月</f>
        <v>0</v>
      </c>
      <c r="E7" s="250">
        <f>雑収入・2月</f>
        <v>0</v>
      </c>
      <c r="F7" s="250">
        <f>雑収入・3月</f>
        <v>0</v>
      </c>
      <c r="G7" s="250">
        <f>雑収入・4月</f>
        <v>0</v>
      </c>
      <c r="H7" s="250">
        <f>雑収入・5月</f>
        <v>0</v>
      </c>
      <c r="I7" s="250">
        <f>雑収入・6月</f>
        <v>0</v>
      </c>
      <c r="J7" s="250">
        <f>雑収入・7月</f>
        <v>0</v>
      </c>
      <c r="K7" s="250">
        <f>雑収入・8月</f>
        <v>0</v>
      </c>
      <c r="L7" s="250">
        <f>雑収入・9月</f>
        <v>0</v>
      </c>
      <c r="M7" s="250">
        <f>雑収入・10月</f>
        <v>0</v>
      </c>
      <c r="N7" s="250">
        <f>雑収入・11月</f>
        <v>0</v>
      </c>
      <c r="O7" s="250">
        <f>雑収入・12月</f>
        <v>0</v>
      </c>
      <c r="P7" s="241">
        <f t="shared" si="1"/>
        <v>0</v>
      </c>
      <c r="Q7" s="251"/>
      <c r="R7" s="242">
        <f>SUM($P7:$Q7)</f>
        <v>0</v>
      </c>
      <c r="S7" s="208" t="s">
        <v>288</v>
      </c>
      <c r="T7" s="263"/>
    </row>
    <row r="8" spans="1:20" ht="57" customHeight="1" thickBot="1">
      <c r="A8" s="55"/>
      <c r="B8" s="60" t="s">
        <v>96</v>
      </c>
      <c r="C8" s="59"/>
      <c r="D8" s="252">
        <f>仕入・1月</f>
        <v>0</v>
      </c>
      <c r="E8" s="252">
        <f>仕入・2月</f>
        <v>0</v>
      </c>
      <c r="F8" s="252">
        <f>仕入・3月</f>
        <v>0</v>
      </c>
      <c r="G8" s="252">
        <f>仕入・4月</f>
        <v>0</v>
      </c>
      <c r="H8" s="252">
        <f>仕入・5月</f>
        <v>0</v>
      </c>
      <c r="I8" s="252">
        <f>仕入・6月</f>
        <v>0</v>
      </c>
      <c r="J8" s="252">
        <f>仕入・7月</f>
        <v>0</v>
      </c>
      <c r="K8" s="252">
        <f>仕入・8月</f>
        <v>0</v>
      </c>
      <c r="L8" s="252">
        <f>仕入・9月</f>
        <v>0</v>
      </c>
      <c r="M8" s="252">
        <f>仕入・10月</f>
        <v>0</v>
      </c>
      <c r="N8" s="252">
        <f>仕入・11月</f>
        <v>0</v>
      </c>
      <c r="O8" s="252">
        <f>仕入・12月</f>
        <v>0</v>
      </c>
      <c r="P8" s="239">
        <f>SUM($D8:$O8)</f>
        <v>0</v>
      </c>
      <c r="Q8" s="253"/>
      <c r="R8" s="239">
        <f>SUM($P8:$Q8)</f>
        <v>0</v>
      </c>
      <c r="S8" s="206" t="s">
        <v>289</v>
      </c>
      <c r="T8" s="242">
        <f>$R$8</f>
        <v>0</v>
      </c>
    </row>
    <row r="9" spans="1:20" ht="33" customHeight="1" thickBot="1">
      <c r="A9" s="55"/>
      <c r="B9" s="53" t="s">
        <v>5</v>
      </c>
      <c r="C9" s="54"/>
      <c r="D9" s="254">
        <f>租税公課・1月</f>
        <v>0</v>
      </c>
      <c r="E9" s="254">
        <f>租税公課・2月</f>
        <v>0</v>
      </c>
      <c r="F9" s="254">
        <f>租税公課・3月</f>
        <v>0</v>
      </c>
      <c r="G9" s="254">
        <f>租税公課・4月</f>
        <v>0</v>
      </c>
      <c r="H9" s="254">
        <f>租税公課・5月</f>
        <v>0</v>
      </c>
      <c r="I9" s="254">
        <f>租税公課・6月</f>
        <v>0</v>
      </c>
      <c r="J9" s="254">
        <f>租税公課・7月</f>
        <v>0</v>
      </c>
      <c r="K9" s="254">
        <f>租税公課・8月</f>
        <v>0</v>
      </c>
      <c r="L9" s="254">
        <f>租税公課・9月</f>
        <v>0</v>
      </c>
      <c r="M9" s="254">
        <f>租税公課・10月</f>
        <v>0</v>
      </c>
      <c r="N9" s="254">
        <f>租税公課・11月</f>
        <v>0</v>
      </c>
      <c r="O9" s="254">
        <f>租税公課・12月</f>
        <v>0</v>
      </c>
      <c r="P9" s="239">
        <f t="shared" si="1"/>
        <v>0</v>
      </c>
      <c r="Q9" s="255"/>
      <c r="R9" s="239">
        <f t="shared" si="0"/>
        <v>0</v>
      </c>
      <c r="S9" s="207" t="s">
        <v>184</v>
      </c>
      <c r="T9" s="264"/>
    </row>
    <row r="10" spans="1:20" ht="33" customHeight="1" thickBot="1">
      <c r="A10" s="55"/>
      <c r="B10" s="56" t="s">
        <v>101</v>
      </c>
      <c r="C10" s="57"/>
      <c r="D10" s="256">
        <f>水道光熱費・1月</f>
        <v>0</v>
      </c>
      <c r="E10" s="256">
        <f>水道光熱費・2月</f>
        <v>0</v>
      </c>
      <c r="F10" s="256">
        <f>水道光熱費・3月</f>
        <v>0</v>
      </c>
      <c r="G10" s="256">
        <f>水道光熱費・4月</f>
        <v>0</v>
      </c>
      <c r="H10" s="256">
        <f>水道光熱費・5月</f>
        <v>0</v>
      </c>
      <c r="I10" s="256">
        <f>水道光熱費・6月</f>
        <v>0</v>
      </c>
      <c r="J10" s="256">
        <f>水道光熱費・7月</f>
        <v>0</v>
      </c>
      <c r="K10" s="256">
        <f>水道光熱費・8月</f>
        <v>0</v>
      </c>
      <c r="L10" s="256">
        <f>水道光熱費・9月</f>
        <v>0</v>
      </c>
      <c r="M10" s="256">
        <f>水道光熱費・10月</f>
        <v>0</v>
      </c>
      <c r="N10" s="256">
        <f>水道光熱費・11月</f>
        <v>0</v>
      </c>
      <c r="O10" s="256">
        <f>水道光熱費・12月</f>
        <v>0</v>
      </c>
      <c r="P10" s="242">
        <f t="shared" si="1"/>
        <v>0</v>
      </c>
      <c r="Q10" s="249"/>
      <c r="R10" s="242">
        <f t="shared" si="0"/>
        <v>0</v>
      </c>
      <c r="S10" s="198" t="s">
        <v>185</v>
      </c>
      <c r="T10" s="243">
        <f>$T$7+$T$8-$T$9</f>
        <v>0</v>
      </c>
    </row>
    <row r="11" spans="1:20" ht="33" customHeight="1" thickBot="1">
      <c r="A11" s="55"/>
      <c r="B11" s="56" t="s">
        <v>6</v>
      </c>
      <c r="C11" s="57"/>
      <c r="D11" s="256">
        <f>旅費交通費・1月</f>
        <v>0</v>
      </c>
      <c r="E11" s="256">
        <f>旅費交通費・2月</f>
        <v>0</v>
      </c>
      <c r="F11" s="256">
        <f>旅費交通費・3月</f>
        <v>0</v>
      </c>
      <c r="G11" s="256">
        <f>旅費交通費・4月</f>
        <v>0</v>
      </c>
      <c r="H11" s="256">
        <f>旅費交通費・5月</f>
        <v>0</v>
      </c>
      <c r="I11" s="256">
        <f>旅費交通費・6月</f>
        <v>0</v>
      </c>
      <c r="J11" s="256">
        <f>旅費交通費・7月</f>
        <v>0</v>
      </c>
      <c r="K11" s="256">
        <f>旅費交通費・8月</f>
        <v>0</v>
      </c>
      <c r="L11" s="256">
        <f>旅費交通費・9月</f>
        <v>0</v>
      </c>
      <c r="M11" s="256">
        <f>旅費交通費・10月</f>
        <v>0</v>
      </c>
      <c r="N11" s="256">
        <f>旅費交通費・11月</f>
        <v>0</v>
      </c>
      <c r="O11" s="256">
        <f>旅費交通費・12月</f>
        <v>0</v>
      </c>
      <c r="P11" s="242">
        <f t="shared" si="1"/>
        <v>0</v>
      </c>
      <c r="Q11" s="249"/>
      <c r="R11" s="242">
        <f t="shared" si="0"/>
        <v>0</v>
      </c>
      <c r="S11" s="198" t="s">
        <v>186</v>
      </c>
      <c r="T11" s="243">
        <f>$T$6-$T$10</f>
        <v>0</v>
      </c>
    </row>
    <row r="12" spans="1:20" ht="33" customHeight="1">
      <c r="A12" s="55"/>
      <c r="B12" s="56" t="s">
        <v>7</v>
      </c>
      <c r="C12" s="57"/>
      <c r="D12" s="256">
        <f>通信費・1月</f>
        <v>0</v>
      </c>
      <c r="E12" s="256">
        <f>通信費・2月</f>
        <v>0</v>
      </c>
      <c r="F12" s="256">
        <f>通信費・3月</f>
        <v>0</v>
      </c>
      <c r="G12" s="256">
        <f>通信費・4月</f>
        <v>0</v>
      </c>
      <c r="H12" s="256">
        <f>通信費・5月</f>
        <v>0</v>
      </c>
      <c r="I12" s="256">
        <f>通信費・6月</f>
        <v>0</v>
      </c>
      <c r="J12" s="256">
        <f>通信費・7月</f>
        <v>0</v>
      </c>
      <c r="K12" s="256">
        <f>通信費・8月</f>
        <v>0</v>
      </c>
      <c r="L12" s="256">
        <f>通信費・9月</f>
        <v>0</v>
      </c>
      <c r="M12" s="256">
        <f>通信費・10月</f>
        <v>0</v>
      </c>
      <c r="N12" s="256">
        <f>通信費・11月</f>
        <v>0</v>
      </c>
      <c r="O12" s="256">
        <f>通信費・12月</f>
        <v>0</v>
      </c>
      <c r="P12" s="242">
        <f t="shared" si="1"/>
        <v>0</v>
      </c>
      <c r="Q12" s="249"/>
      <c r="R12" s="242">
        <f t="shared" si="0"/>
        <v>0</v>
      </c>
      <c r="S12" s="209" t="s">
        <v>290</v>
      </c>
      <c r="T12" s="244">
        <f>SUM(R9:R26)</f>
        <v>0</v>
      </c>
    </row>
    <row r="13" spans="1:20" ht="33" customHeight="1" thickBot="1">
      <c r="A13" s="55"/>
      <c r="B13" s="56" t="s">
        <v>8</v>
      </c>
      <c r="C13" s="57"/>
      <c r="D13" s="256">
        <f>広告宣伝費・1月</f>
        <v>0</v>
      </c>
      <c r="E13" s="256">
        <f>広告宣伝費・2月</f>
        <v>0</v>
      </c>
      <c r="F13" s="256">
        <f>広告宣伝費・3月</f>
        <v>0</v>
      </c>
      <c r="G13" s="256">
        <f>広告宣伝費・4月</f>
        <v>0</v>
      </c>
      <c r="H13" s="256">
        <f>広告宣伝費・5月</f>
        <v>0</v>
      </c>
      <c r="I13" s="256">
        <f>広告宣伝費・6月</f>
        <v>0</v>
      </c>
      <c r="J13" s="256">
        <f>広告宣伝費・7月</f>
        <v>0</v>
      </c>
      <c r="K13" s="256">
        <f>広告宣伝費・8月</f>
        <v>0</v>
      </c>
      <c r="L13" s="256">
        <f>広告宣伝費・9月</f>
        <v>0</v>
      </c>
      <c r="M13" s="256">
        <f>広告宣伝費・10月</f>
        <v>0</v>
      </c>
      <c r="N13" s="256">
        <f>広告宣伝費・11月</f>
        <v>0</v>
      </c>
      <c r="O13" s="256">
        <f>広告宣伝費・12月</f>
        <v>0</v>
      </c>
      <c r="P13" s="242">
        <f t="shared" si="1"/>
        <v>0</v>
      </c>
      <c r="Q13" s="249"/>
      <c r="R13" s="242">
        <f t="shared" si="0"/>
        <v>0</v>
      </c>
      <c r="S13" s="207" t="s">
        <v>291</v>
      </c>
      <c r="T13" s="264"/>
    </row>
    <row r="14" spans="1:20" ht="33" customHeight="1" thickBot="1">
      <c r="A14" s="55"/>
      <c r="B14" s="56" t="s">
        <v>9</v>
      </c>
      <c r="C14" s="57"/>
      <c r="D14" s="256">
        <f>接待交際費・1月</f>
        <v>0</v>
      </c>
      <c r="E14" s="256">
        <f>接待交際費・2月</f>
        <v>0</v>
      </c>
      <c r="F14" s="256">
        <f>接待交際費・3月</f>
        <v>0</v>
      </c>
      <c r="G14" s="256">
        <f>接待交際費・4月</f>
        <v>0</v>
      </c>
      <c r="H14" s="256">
        <f>接待交際費・5月</f>
        <v>0</v>
      </c>
      <c r="I14" s="256">
        <f>接待交際費・6月</f>
        <v>0</v>
      </c>
      <c r="J14" s="256">
        <f>接待交際費・7月</f>
        <v>0</v>
      </c>
      <c r="K14" s="256">
        <f>接待交際費・8月</f>
        <v>0</v>
      </c>
      <c r="L14" s="256">
        <f>接待交際費・9月</f>
        <v>0</v>
      </c>
      <c r="M14" s="256">
        <f>接待交際費・10月</f>
        <v>0</v>
      </c>
      <c r="N14" s="256">
        <f>接待交際費・11月</f>
        <v>0</v>
      </c>
      <c r="O14" s="256">
        <f>接待交際費・12月</f>
        <v>0</v>
      </c>
      <c r="P14" s="242">
        <f t="shared" si="1"/>
        <v>0</v>
      </c>
      <c r="Q14" s="249"/>
      <c r="R14" s="242">
        <f t="shared" si="0"/>
        <v>0</v>
      </c>
      <c r="S14" s="198" t="s">
        <v>292</v>
      </c>
      <c r="T14" s="243">
        <f>$T$11-($T$12+$T$13)</f>
        <v>0</v>
      </c>
    </row>
    <row r="15" spans="1:20" ht="33" customHeight="1">
      <c r="A15" s="55"/>
      <c r="B15" s="56" t="s">
        <v>10</v>
      </c>
      <c r="C15" s="57"/>
      <c r="D15" s="256">
        <f>損害保険料・1月</f>
        <v>0</v>
      </c>
      <c r="E15" s="256">
        <f>損害保険料・2月</f>
        <v>0</v>
      </c>
      <c r="F15" s="256">
        <f>損害保険料・3月</f>
        <v>0</v>
      </c>
      <c r="G15" s="256">
        <f>損害保険料・4月</f>
        <v>0</v>
      </c>
      <c r="H15" s="256">
        <f>損害保険料・5月</f>
        <v>0</v>
      </c>
      <c r="I15" s="256">
        <f>損害保険料・6月</f>
        <v>0</v>
      </c>
      <c r="J15" s="256">
        <f>損害保険料・7月</f>
        <v>0</v>
      </c>
      <c r="K15" s="256">
        <f>損害保険料・8月</f>
        <v>0</v>
      </c>
      <c r="L15" s="256">
        <f>損害保険料・9月</f>
        <v>0</v>
      </c>
      <c r="M15" s="256">
        <f>損害保険料・10月</f>
        <v>0</v>
      </c>
      <c r="N15" s="256">
        <f>損害保険料・11月</f>
        <v>0</v>
      </c>
      <c r="O15" s="256">
        <f>損害保険料・12月</f>
        <v>0</v>
      </c>
      <c r="P15" s="242">
        <f t="shared" si="1"/>
        <v>0</v>
      </c>
      <c r="Q15" s="249"/>
      <c r="R15" s="242">
        <f t="shared" si="0"/>
        <v>0</v>
      </c>
      <c r="S15" s="269" t="s">
        <v>98</v>
      </c>
      <c r="T15" s="263"/>
    </row>
    <row r="16" spans="1:20" ht="33" customHeight="1" thickBot="1">
      <c r="A16" s="55"/>
      <c r="B16" s="56" t="s">
        <v>11</v>
      </c>
      <c r="C16" s="57"/>
      <c r="D16" s="256">
        <f>修繕費・1月</f>
        <v>0</v>
      </c>
      <c r="E16" s="256">
        <f>修繕費・2月</f>
        <v>0</v>
      </c>
      <c r="F16" s="256">
        <f>修繕費・3月</f>
        <v>0</v>
      </c>
      <c r="G16" s="256">
        <f>修繕費・4月</f>
        <v>0</v>
      </c>
      <c r="H16" s="256">
        <f>修繕費・5月</f>
        <v>0</v>
      </c>
      <c r="I16" s="256">
        <f>修繕費・6月</f>
        <v>0</v>
      </c>
      <c r="J16" s="256">
        <f>修繕費・7月</f>
        <v>0</v>
      </c>
      <c r="K16" s="256">
        <f>修繕費・8月</f>
        <v>0</v>
      </c>
      <c r="L16" s="256">
        <f>修繕費・9月</f>
        <v>0</v>
      </c>
      <c r="M16" s="256">
        <f>修繕費・10月</f>
        <v>0</v>
      </c>
      <c r="N16" s="256">
        <f>修繕費・11月</f>
        <v>0</v>
      </c>
      <c r="O16" s="256">
        <f>修繕費・12月</f>
        <v>0</v>
      </c>
      <c r="P16" s="242">
        <f t="shared" si="1"/>
        <v>0</v>
      </c>
      <c r="Q16" s="249"/>
      <c r="R16" s="242">
        <f t="shared" si="0"/>
        <v>0</v>
      </c>
      <c r="S16" s="265"/>
      <c r="T16" s="264"/>
    </row>
    <row r="17" spans="1:20" ht="33" customHeight="1" thickBot="1">
      <c r="A17" s="55"/>
      <c r="B17" s="56" t="s">
        <v>12</v>
      </c>
      <c r="C17" s="57"/>
      <c r="D17" s="256">
        <f>消耗品費・1月</f>
        <v>0</v>
      </c>
      <c r="E17" s="256">
        <f>消耗品費・2月</f>
        <v>0</v>
      </c>
      <c r="F17" s="256">
        <f>消耗品費・3月</f>
        <v>0</v>
      </c>
      <c r="G17" s="256">
        <f>消耗品費・4月</f>
        <v>0</v>
      </c>
      <c r="H17" s="256">
        <f>消耗品費・5月</f>
        <v>0</v>
      </c>
      <c r="I17" s="256">
        <f>消耗品費・6月</f>
        <v>0</v>
      </c>
      <c r="J17" s="256">
        <f>消耗品費・7月</f>
        <v>0</v>
      </c>
      <c r="K17" s="256">
        <f>消耗品費・8月</f>
        <v>0</v>
      </c>
      <c r="L17" s="256">
        <f>消耗品費・9月</f>
        <v>0</v>
      </c>
      <c r="M17" s="256">
        <f>消耗品費・10月</f>
        <v>0</v>
      </c>
      <c r="N17" s="256">
        <f>消耗品費・11月</f>
        <v>0</v>
      </c>
      <c r="O17" s="256">
        <f>消耗品費・12月</f>
        <v>0</v>
      </c>
      <c r="P17" s="242">
        <f t="shared" si="1"/>
        <v>0</v>
      </c>
      <c r="Q17" s="249"/>
      <c r="R17" s="242">
        <f t="shared" si="0"/>
        <v>0</v>
      </c>
      <c r="S17" s="198" t="s">
        <v>294</v>
      </c>
      <c r="T17" s="243">
        <f>$T$14-SUM($T$15:$T$16)</f>
        <v>0</v>
      </c>
    </row>
    <row r="18" spans="1:20" ht="33" customHeight="1">
      <c r="A18" s="55"/>
      <c r="B18" s="56" t="s">
        <v>97</v>
      </c>
      <c r="C18" s="57"/>
      <c r="D18" s="256">
        <f>福利厚生費・1月</f>
        <v>0</v>
      </c>
      <c r="E18" s="256">
        <f>福利厚生費・2月</f>
        <v>0</v>
      </c>
      <c r="F18" s="256">
        <f>福利厚生費・3月</f>
        <v>0</v>
      </c>
      <c r="G18" s="256">
        <f>福利厚生費・4月</f>
        <v>0</v>
      </c>
      <c r="H18" s="256">
        <f>福利厚生費・5月</f>
        <v>0</v>
      </c>
      <c r="I18" s="256">
        <f>福利厚生費・6月</f>
        <v>0</v>
      </c>
      <c r="J18" s="256">
        <f>福利厚生費・7月</f>
        <v>0</v>
      </c>
      <c r="K18" s="256">
        <f>福利厚生費・8月</f>
        <v>0</v>
      </c>
      <c r="L18" s="256">
        <f>福利厚生費・9月</f>
        <v>0</v>
      </c>
      <c r="M18" s="256">
        <f>福利厚生費・10月</f>
        <v>0</v>
      </c>
      <c r="N18" s="256">
        <f>福利厚生費・11月</f>
        <v>0</v>
      </c>
      <c r="O18" s="256">
        <f>福利厚生費・12月</f>
        <v>0</v>
      </c>
      <c r="P18" s="242">
        <f t="shared" si="1"/>
        <v>0</v>
      </c>
      <c r="Q18" s="249"/>
      <c r="R18" s="242">
        <f t="shared" si="0"/>
        <v>0</v>
      </c>
      <c r="S18" s="210" t="s">
        <v>295</v>
      </c>
      <c r="T18" s="263">
        <v>100000</v>
      </c>
    </row>
    <row r="19" spans="1:20" ht="33" customHeight="1" thickBot="1">
      <c r="A19" s="55"/>
      <c r="B19" s="56" t="s">
        <v>14</v>
      </c>
      <c r="C19" s="57"/>
      <c r="D19" s="256">
        <f>給料賃金・1月</f>
        <v>0</v>
      </c>
      <c r="E19" s="256">
        <f>給料賃金・2月</f>
        <v>0</v>
      </c>
      <c r="F19" s="256">
        <f>給料賃金・3月</f>
        <v>0</v>
      </c>
      <c r="G19" s="256">
        <f>給料賃金・4月</f>
        <v>0</v>
      </c>
      <c r="H19" s="256">
        <f>給料賃金・5月</f>
        <v>0</v>
      </c>
      <c r="I19" s="256">
        <f>給料賃金・6月</f>
        <v>0</v>
      </c>
      <c r="J19" s="256">
        <f>給料賃金・7月</f>
        <v>0</v>
      </c>
      <c r="K19" s="256">
        <f>給料賃金・8月</f>
        <v>0</v>
      </c>
      <c r="L19" s="256">
        <f>給料賃金・9月</f>
        <v>0</v>
      </c>
      <c r="M19" s="256">
        <f>給料賃金・10月</f>
        <v>0</v>
      </c>
      <c r="N19" s="256">
        <f>給料賃金・11月</f>
        <v>0</v>
      </c>
      <c r="O19" s="256">
        <f>給料賃金・12月</f>
        <v>0</v>
      </c>
      <c r="P19" s="242">
        <f t="shared" si="1"/>
        <v>0</v>
      </c>
      <c r="Q19" s="249"/>
      <c r="R19" s="242">
        <f t="shared" si="0"/>
        <v>0</v>
      </c>
      <c r="S19" s="21" t="s">
        <v>293</v>
      </c>
      <c r="T19" s="241"/>
    </row>
    <row r="20" spans="1:20" ht="33" customHeight="1">
      <c r="A20" s="55"/>
      <c r="B20" s="56" t="s">
        <v>18</v>
      </c>
      <c r="C20" s="57"/>
      <c r="D20" s="256">
        <f>外注工賃・1月</f>
        <v>0</v>
      </c>
      <c r="E20" s="256">
        <f>外注工賃・2月</f>
        <v>0</v>
      </c>
      <c r="F20" s="256">
        <f>外注工賃・3月</f>
        <v>0</v>
      </c>
      <c r="G20" s="256">
        <f>外注工賃・4月</f>
        <v>0</v>
      </c>
      <c r="H20" s="256">
        <f>外注工賃・5月</f>
        <v>0</v>
      </c>
      <c r="I20" s="256">
        <f>外注工賃・6月</f>
        <v>0</v>
      </c>
      <c r="J20" s="256">
        <f>外注工賃・7月</f>
        <v>0</v>
      </c>
      <c r="K20" s="256">
        <f>外注工賃・8月</f>
        <v>0</v>
      </c>
      <c r="L20" s="256">
        <f>外注工賃・9月</f>
        <v>0</v>
      </c>
      <c r="M20" s="256">
        <f>外注工賃・10月</f>
        <v>0</v>
      </c>
      <c r="N20" s="256">
        <f>外注工賃・11月</f>
        <v>0</v>
      </c>
      <c r="O20" s="256">
        <f>外注工賃・12月</f>
        <v>0</v>
      </c>
      <c r="P20" s="242">
        <f t="shared" si="1"/>
        <v>0</v>
      </c>
      <c r="Q20" s="249"/>
      <c r="R20" s="242">
        <f t="shared" si="0"/>
        <v>0</v>
      </c>
      <c r="S20" s="129" t="s">
        <v>187</v>
      </c>
      <c r="T20" s="45"/>
    </row>
    <row r="21" spans="1:20" ht="33" customHeight="1">
      <c r="A21" s="55"/>
      <c r="B21" s="56" t="s">
        <v>16</v>
      </c>
      <c r="C21" s="57"/>
      <c r="D21" s="256">
        <f>利子割引料・1月</f>
        <v>0</v>
      </c>
      <c r="E21" s="256">
        <f>利子割引料・2月</f>
        <v>0</v>
      </c>
      <c r="F21" s="256">
        <f>利子割引料・3月</f>
        <v>0</v>
      </c>
      <c r="G21" s="256">
        <f>利子割引料・4月</f>
        <v>0</v>
      </c>
      <c r="H21" s="256">
        <f>利子割引料・5月</f>
        <v>0</v>
      </c>
      <c r="I21" s="256">
        <f>利子割引料・6月</f>
        <v>0</v>
      </c>
      <c r="J21" s="256">
        <f>利子割引料・7月</f>
        <v>0</v>
      </c>
      <c r="K21" s="256">
        <f>利子割引料・8月</f>
        <v>0</v>
      </c>
      <c r="L21" s="256">
        <f>利子割引料・9月</f>
        <v>0</v>
      </c>
      <c r="M21" s="256">
        <f>利子割引料・10月</f>
        <v>0</v>
      </c>
      <c r="N21" s="256">
        <f>利子割引料・11月</f>
        <v>0</v>
      </c>
      <c r="O21" s="256">
        <f>利子割引料・12月</f>
        <v>0</v>
      </c>
      <c r="P21" s="242">
        <f t="shared" si="1"/>
        <v>0</v>
      </c>
      <c r="Q21" s="249"/>
      <c r="R21" s="242">
        <f t="shared" si="0"/>
        <v>0</v>
      </c>
      <c r="S21" s="266"/>
      <c r="T21" s="267"/>
    </row>
    <row r="22" spans="1:20" ht="33" customHeight="1">
      <c r="A22" s="55"/>
      <c r="B22" s="56" t="s">
        <v>140</v>
      </c>
      <c r="C22" s="57"/>
      <c r="D22" s="256">
        <f>車両費・1月</f>
        <v>0</v>
      </c>
      <c r="E22" s="256">
        <f>車両費・2月</f>
        <v>0</v>
      </c>
      <c r="F22" s="256">
        <f>車両費・3月</f>
        <v>0</v>
      </c>
      <c r="G22" s="256">
        <f>車両費・4月</f>
        <v>0</v>
      </c>
      <c r="H22" s="256">
        <f>車両費・5月</f>
        <v>0</v>
      </c>
      <c r="I22" s="256">
        <f>車両費・6月</f>
        <v>0</v>
      </c>
      <c r="J22" s="256">
        <f>車両費・7月</f>
        <v>0</v>
      </c>
      <c r="K22" s="256">
        <f>車両費・8月</f>
        <v>0</v>
      </c>
      <c r="L22" s="256">
        <f>車両費・9月</f>
        <v>0</v>
      </c>
      <c r="M22" s="256">
        <f>車両費・10月</f>
        <v>0</v>
      </c>
      <c r="N22" s="256">
        <f>車両費・11月</f>
        <v>0</v>
      </c>
      <c r="O22" s="256">
        <f>車両費・12月</f>
        <v>0</v>
      </c>
      <c r="P22" s="242">
        <f t="shared" si="1"/>
        <v>0</v>
      </c>
      <c r="Q22" s="249"/>
      <c r="R22" s="242">
        <f t="shared" si="0"/>
        <v>0</v>
      </c>
      <c r="S22" s="266"/>
      <c r="T22" s="267"/>
    </row>
    <row r="23" spans="1:20" ht="33" customHeight="1">
      <c r="A23" s="55"/>
      <c r="B23" s="236" t="s">
        <v>328</v>
      </c>
      <c r="C23" s="57"/>
      <c r="D23" s="256">
        <f>空欄1・1月</f>
        <v>0</v>
      </c>
      <c r="E23" s="256">
        <f>空欄1・2月</f>
        <v>0</v>
      </c>
      <c r="F23" s="256">
        <f>空欄1・3月</f>
        <v>0</v>
      </c>
      <c r="G23" s="256">
        <f>空欄1・4月</f>
        <v>0</v>
      </c>
      <c r="H23" s="256">
        <f>空欄1・5月</f>
        <v>0</v>
      </c>
      <c r="I23" s="256">
        <f>空欄1・6月</f>
        <v>0</v>
      </c>
      <c r="J23" s="256">
        <f>空欄1・7月</f>
        <v>0</v>
      </c>
      <c r="K23" s="256">
        <f>空欄1・8月</f>
        <v>0</v>
      </c>
      <c r="L23" s="256">
        <f>空欄1・9月</f>
        <v>0</v>
      </c>
      <c r="M23" s="256">
        <f>空欄1・10月</f>
        <v>0</v>
      </c>
      <c r="N23" s="256">
        <f>空欄1・11月</f>
        <v>0</v>
      </c>
      <c r="O23" s="256">
        <f>空欄1・12月</f>
        <v>0</v>
      </c>
      <c r="P23" s="242">
        <f t="shared" si="1"/>
        <v>0</v>
      </c>
      <c r="Q23" s="249"/>
      <c r="R23" s="242">
        <f t="shared" si="0"/>
        <v>0</v>
      </c>
      <c r="S23" s="266"/>
      <c r="T23" s="267"/>
    </row>
    <row r="24" spans="1:20" ht="33" customHeight="1">
      <c r="A24" s="55"/>
      <c r="B24" s="236" t="s">
        <v>329</v>
      </c>
      <c r="C24" s="57"/>
      <c r="D24" s="256">
        <f>空欄2・1月</f>
        <v>0</v>
      </c>
      <c r="E24" s="256">
        <f>空欄2・2月</f>
        <v>0</v>
      </c>
      <c r="F24" s="256">
        <f>空欄2・3月</f>
        <v>0</v>
      </c>
      <c r="G24" s="256">
        <f>空欄2・4月</f>
        <v>0</v>
      </c>
      <c r="H24" s="256">
        <f>空欄2・5月</f>
        <v>0</v>
      </c>
      <c r="I24" s="256">
        <f>空欄2・6月</f>
        <v>0</v>
      </c>
      <c r="J24" s="256">
        <f>空欄2・7月</f>
        <v>0</v>
      </c>
      <c r="K24" s="256">
        <f>空欄2・8月</f>
        <v>0</v>
      </c>
      <c r="L24" s="256">
        <f>空欄2・9月</f>
        <v>0</v>
      </c>
      <c r="M24" s="256">
        <f>空欄2・10月</f>
        <v>0</v>
      </c>
      <c r="N24" s="256">
        <f>空欄2・11月</f>
        <v>0</v>
      </c>
      <c r="O24" s="256">
        <f>空欄2・12月</f>
        <v>0</v>
      </c>
      <c r="P24" s="242">
        <f>SUM($D24:$O24)</f>
        <v>0</v>
      </c>
      <c r="Q24" s="249"/>
      <c r="R24" s="242">
        <f t="shared" si="0"/>
        <v>0</v>
      </c>
      <c r="S24" s="266"/>
      <c r="T24" s="267"/>
    </row>
    <row r="25" spans="1:20" ht="33" customHeight="1">
      <c r="A25" s="234"/>
      <c r="B25" s="235"/>
      <c r="C25" s="233"/>
      <c r="D25" s="257"/>
      <c r="E25" s="257"/>
      <c r="F25" s="257"/>
      <c r="G25" s="257"/>
      <c r="H25" s="257"/>
      <c r="I25" s="257"/>
      <c r="J25" s="257"/>
      <c r="K25" s="257"/>
      <c r="L25" s="257"/>
      <c r="M25" s="257"/>
      <c r="N25" s="257"/>
      <c r="O25" s="257"/>
      <c r="P25" s="242">
        <f t="shared" si="1"/>
        <v>0</v>
      </c>
      <c r="Q25" s="249"/>
      <c r="R25" s="242">
        <f t="shared" si="0"/>
        <v>0</v>
      </c>
      <c r="S25" s="266"/>
      <c r="T25" s="267"/>
    </row>
    <row r="26" spans="1:20" ht="33" customHeight="1" thickBot="1">
      <c r="A26" s="186"/>
      <c r="B26" s="187" t="s">
        <v>20</v>
      </c>
      <c r="C26" s="58"/>
      <c r="D26" s="250">
        <f>雑費・1月</f>
        <v>0</v>
      </c>
      <c r="E26" s="250">
        <f>雑費・2月</f>
        <v>0</v>
      </c>
      <c r="F26" s="250">
        <f>雑費・3月</f>
        <v>0</v>
      </c>
      <c r="G26" s="250">
        <f>雑費・4月</f>
        <v>0</v>
      </c>
      <c r="H26" s="250">
        <f>雑費・5月</f>
        <v>0</v>
      </c>
      <c r="I26" s="250">
        <f>雑費・6月</f>
        <v>0</v>
      </c>
      <c r="J26" s="250">
        <f>雑費・7月</f>
        <v>0</v>
      </c>
      <c r="K26" s="250">
        <f>雑費・8月</f>
        <v>0</v>
      </c>
      <c r="L26" s="250">
        <f>雑費・9月</f>
        <v>0</v>
      </c>
      <c r="M26" s="250">
        <f>雑費・10月</f>
        <v>0</v>
      </c>
      <c r="N26" s="250">
        <f>雑費・11月</f>
        <v>0</v>
      </c>
      <c r="O26" s="250">
        <f>雑費・12月</f>
        <v>0</v>
      </c>
      <c r="P26" s="258">
        <f>SUM($D26:$O26)</f>
        <v>0</v>
      </c>
      <c r="Q26" s="259"/>
      <c r="R26" s="242">
        <f t="shared" si="0"/>
        <v>0</v>
      </c>
      <c r="S26" s="268"/>
      <c r="T26" s="267"/>
    </row>
    <row r="27" spans="1:20" ht="33" customHeight="1" thickBot="1">
      <c r="A27" s="188"/>
      <c r="B27" s="189" t="s">
        <v>230</v>
      </c>
      <c r="C27" s="59"/>
      <c r="D27" s="252">
        <f>SUM(D$4:D$7)-SUM(D$9:D$26)-D$8</f>
        <v>0</v>
      </c>
      <c r="E27" s="252">
        <f t="shared" ref="E27:O27" si="2">SUM(E$4:E$7)-SUM(E$9:E$26)-E$8</f>
        <v>0</v>
      </c>
      <c r="F27" s="252">
        <f t="shared" si="2"/>
        <v>0</v>
      </c>
      <c r="G27" s="252">
        <f t="shared" si="2"/>
        <v>0</v>
      </c>
      <c r="H27" s="252">
        <f t="shared" si="2"/>
        <v>0</v>
      </c>
      <c r="I27" s="252">
        <f t="shared" si="2"/>
        <v>0</v>
      </c>
      <c r="J27" s="252">
        <f t="shared" si="2"/>
        <v>0</v>
      </c>
      <c r="K27" s="252">
        <f t="shared" si="2"/>
        <v>0</v>
      </c>
      <c r="L27" s="252">
        <f t="shared" si="2"/>
        <v>0</v>
      </c>
      <c r="M27" s="252">
        <f t="shared" si="2"/>
        <v>0</v>
      </c>
      <c r="N27" s="252">
        <f t="shared" si="2"/>
        <v>0</v>
      </c>
      <c r="O27" s="252">
        <f t="shared" si="2"/>
        <v>0</v>
      </c>
      <c r="P27" s="260">
        <f>SUM(P$4:P$7)-SUM(P$9:P$26)-P$8</f>
        <v>0</v>
      </c>
      <c r="Q27" s="261">
        <f>SUM(Q$4:Q$7)-SUM(Q$9:Q$26)-Q$8</f>
        <v>0</v>
      </c>
      <c r="R27" s="243"/>
      <c r="S27" s="231"/>
      <c r="T27" s="232"/>
    </row>
    <row r="28" spans="1:20" ht="31.5" customHeight="1">
      <c r="B28" s="63"/>
    </row>
    <row r="29" spans="1:20" ht="31.5" customHeight="1">
      <c r="D29" t="str">
        <f>"mo"&amp;"仕入"&amp;"・"&amp;D2&amp;"月"</f>
        <v>mo仕入・1月</v>
      </c>
      <c r="E29" t="str">
        <f t="shared" ref="E29:O29" si="3">"mo"&amp;"仕入"&amp;"・"&amp;E2&amp;"月"</f>
        <v>mo仕入・2月</v>
      </c>
      <c r="F29" t="str">
        <f t="shared" si="3"/>
        <v>mo仕入・3月</v>
      </c>
      <c r="G29" t="str">
        <f t="shared" si="3"/>
        <v>mo仕入・4月</v>
      </c>
      <c r="H29" t="str">
        <f t="shared" si="3"/>
        <v>mo仕入・5月</v>
      </c>
      <c r="I29" t="str">
        <f t="shared" si="3"/>
        <v>mo仕入・6月</v>
      </c>
      <c r="J29" t="str">
        <f t="shared" si="3"/>
        <v>mo仕入・7月</v>
      </c>
      <c r="K29" t="str">
        <f t="shared" si="3"/>
        <v>mo仕入・8月</v>
      </c>
      <c r="L29" t="str">
        <f t="shared" si="3"/>
        <v>mo仕入・9月</v>
      </c>
      <c r="M29" t="str">
        <f t="shared" si="3"/>
        <v>mo仕入・10月</v>
      </c>
      <c r="N29" t="str">
        <f t="shared" si="3"/>
        <v>mo仕入・11月</v>
      </c>
      <c r="O29" t="str">
        <f t="shared" si="3"/>
        <v>mo仕入・12月</v>
      </c>
    </row>
    <row r="30" spans="1:20" ht="31.5" customHeight="1">
      <c r="D30" t="s">
        <v>389</v>
      </c>
      <c r="E30" t="s">
        <v>378</v>
      </c>
      <c r="F30" t="s">
        <v>379</v>
      </c>
      <c r="G30" t="s">
        <v>380</v>
      </c>
      <c r="H30" t="s">
        <v>381</v>
      </c>
      <c r="I30" t="s">
        <v>382</v>
      </c>
      <c r="J30" t="s">
        <v>383</v>
      </c>
      <c r="K30" t="s">
        <v>384</v>
      </c>
      <c r="L30" t="s">
        <v>385</v>
      </c>
      <c r="M30" t="s">
        <v>386</v>
      </c>
      <c r="N30" t="s">
        <v>387</v>
      </c>
      <c r="O30" t="s">
        <v>388</v>
      </c>
    </row>
  </sheetData>
  <mergeCells count="16">
    <mergeCell ref="A2:C3"/>
    <mergeCell ref="D2:D3"/>
    <mergeCell ref="Q2:Q3"/>
    <mergeCell ref="S2:T3"/>
    <mergeCell ref="G2:G3"/>
    <mergeCell ref="F2:F3"/>
    <mergeCell ref="R2:R3"/>
    <mergeCell ref="O2:O3"/>
    <mergeCell ref="N2:N3"/>
    <mergeCell ref="E2:E3"/>
    <mergeCell ref="M2:M3"/>
    <mergeCell ref="L2:L3"/>
    <mergeCell ref="K2:K3"/>
    <mergeCell ref="J2:J3"/>
    <mergeCell ref="I2:I3"/>
    <mergeCell ref="H2:H3"/>
  </mergeCells>
  <phoneticPr fontId="1"/>
  <printOptions horizontalCentered="1"/>
  <pageMargins left="0.47244094488188981" right="0.19685039370078741" top="0.78740157480314965" bottom="0.15748031496062992" header="0.31496062992125984" footer="0.31496062992125984"/>
  <pageSetup paperSize="9" scale="5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D17D5-28F1-411E-9DB5-9B0DE1485FC7}">
  <dimension ref="A1:A29"/>
  <sheetViews>
    <sheetView topLeftCell="A16" workbookViewId="0">
      <selection activeCell="A29" sqref="A29"/>
    </sheetView>
  </sheetViews>
  <sheetFormatPr defaultRowHeight="18.75"/>
  <sheetData>
    <row r="1" spans="1:1" ht="33">
      <c r="A1" s="214" t="s">
        <v>354</v>
      </c>
    </row>
    <row r="2" spans="1:1">
      <c r="A2" t="s">
        <v>345</v>
      </c>
    </row>
    <row r="3" spans="1:1">
      <c r="A3" t="s">
        <v>350</v>
      </c>
    </row>
    <row r="4" spans="1:1">
      <c r="A4" t="s">
        <v>357</v>
      </c>
    </row>
    <row r="6" spans="1:1">
      <c r="A6" t="s">
        <v>365</v>
      </c>
    </row>
    <row r="8" spans="1:1">
      <c r="A8" t="s">
        <v>355</v>
      </c>
    </row>
    <row r="9" spans="1:1">
      <c r="A9" t="s">
        <v>356</v>
      </c>
    </row>
    <row r="12" spans="1:1">
      <c r="A12" t="s">
        <v>375</v>
      </c>
    </row>
    <row r="13" spans="1:1">
      <c r="A13" t="s">
        <v>364</v>
      </c>
    </row>
    <row r="15" spans="1:1" ht="33">
      <c r="A15" s="214" t="s">
        <v>367</v>
      </c>
    </row>
    <row r="16" spans="1:1">
      <c r="A16" t="s">
        <v>368</v>
      </c>
    </row>
    <row r="17" spans="1:1">
      <c r="A17" t="s">
        <v>369</v>
      </c>
    </row>
    <row r="24" spans="1:1" ht="30">
      <c r="A24" s="212" t="s">
        <v>351</v>
      </c>
    </row>
    <row r="25" spans="1:1">
      <c r="A25" t="s">
        <v>352</v>
      </c>
    </row>
    <row r="26" spans="1:1">
      <c r="A26" t="s">
        <v>346</v>
      </c>
    </row>
    <row r="27" spans="1:1">
      <c r="A27" t="s">
        <v>348</v>
      </c>
    </row>
    <row r="28" spans="1:1">
      <c r="A28" t="s">
        <v>349</v>
      </c>
    </row>
    <row r="29" spans="1:1">
      <c r="A29" t="s">
        <v>347</v>
      </c>
    </row>
  </sheetData>
  <phoneticPr fontId="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0F39D-A6F4-4212-B945-CD05CCC6CB01}">
  <sheetPr>
    <pageSetUpPr fitToPage="1"/>
  </sheetPr>
  <dimension ref="A1:J35"/>
  <sheetViews>
    <sheetView topLeftCell="C30" workbookViewId="0">
      <selection activeCell="G39" sqref="G39"/>
    </sheetView>
  </sheetViews>
  <sheetFormatPr defaultRowHeight="24.75" customHeight="1"/>
  <cols>
    <col min="1" max="4" width="21.75" customWidth="1"/>
    <col min="6" max="8" width="21.75" customWidth="1"/>
    <col min="9" max="10" width="10.875" customWidth="1"/>
  </cols>
  <sheetData>
    <row r="1" spans="1:10" ht="24.75" customHeight="1" thickBot="1">
      <c r="A1" s="512" t="s">
        <v>106</v>
      </c>
      <c r="B1" s="512"/>
      <c r="C1" t="s">
        <v>235</v>
      </c>
      <c r="F1" s="512" t="s">
        <v>113</v>
      </c>
      <c r="G1" s="512"/>
      <c r="H1" t="s">
        <v>234</v>
      </c>
    </row>
    <row r="2" spans="1:10" ht="24.75" customHeight="1">
      <c r="A2" s="293" t="s">
        <v>107</v>
      </c>
      <c r="B2" s="294" t="s">
        <v>108</v>
      </c>
      <c r="C2" s="294" t="s">
        <v>109</v>
      </c>
      <c r="D2" s="295" t="s">
        <v>22</v>
      </c>
      <c r="F2" s="293" t="s">
        <v>107</v>
      </c>
      <c r="G2" s="294" t="s">
        <v>108</v>
      </c>
      <c r="H2" s="294" t="s">
        <v>109</v>
      </c>
      <c r="I2" s="510" t="s">
        <v>22</v>
      </c>
      <c r="J2" s="511"/>
    </row>
    <row r="3" spans="1:10" ht="24.75" customHeight="1">
      <c r="A3" s="317"/>
      <c r="B3" s="318"/>
      <c r="C3" s="319"/>
      <c r="D3" s="320"/>
      <c r="F3" s="317"/>
      <c r="G3" s="318"/>
      <c r="H3" s="319"/>
      <c r="I3" s="505"/>
      <c r="J3" s="506"/>
    </row>
    <row r="4" spans="1:10" ht="24.75" customHeight="1">
      <c r="A4" s="317"/>
      <c r="B4" s="318"/>
      <c r="C4" s="319"/>
      <c r="D4" s="320"/>
      <c r="F4" s="317"/>
      <c r="G4" s="318"/>
      <c r="H4" s="319"/>
      <c r="I4" s="505"/>
      <c r="J4" s="506"/>
    </row>
    <row r="5" spans="1:10" ht="24.75" customHeight="1">
      <c r="A5" s="317"/>
      <c r="B5" s="318"/>
      <c r="C5" s="319"/>
      <c r="D5" s="320"/>
      <c r="F5" s="317"/>
      <c r="G5" s="318"/>
      <c r="H5" s="319"/>
      <c r="I5" s="505"/>
      <c r="J5" s="506"/>
    </row>
    <row r="6" spans="1:10" ht="24.75" customHeight="1">
      <c r="A6" s="317"/>
      <c r="B6" s="318"/>
      <c r="C6" s="319"/>
      <c r="D6" s="320"/>
      <c r="F6" s="317"/>
      <c r="G6" s="318"/>
      <c r="H6" s="319"/>
      <c r="I6" s="505"/>
      <c r="J6" s="506"/>
    </row>
    <row r="7" spans="1:10" ht="24.75" customHeight="1">
      <c r="A7" s="317"/>
      <c r="B7" s="318"/>
      <c r="C7" s="319"/>
      <c r="D7" s="320"/>
      <c r="F7" s="317"/>
      <c r="G7" s="318"/>
      <c r="H7" s="319"/>
      <c r="I7" s="505"/>
      <c r="J7" s="506"/>
    </row>
    <row r="8" spans="1:10" ht="24.75" customHeight="1">
      <c r="A8" s="317"/>
      <c r="B8" s="318"/>
      <c r="C8" s="319"/>
      <c r="D8" s="320"/>
      <c r="F8" s="317"/>
      <c r="G8" s="318"/>
      <c r="H8" s="319"/>
      <c r="I8" s="505"/>
      <c r="J8" s="506"/>
    </row>
    <row r="9" spans="1:10" ht="24.75" customHeight="1">
      <c r="A9" s="317"/>
      <c r="B9" s="318"/>
      <c r="C9" s="319"/>
      <c r="D9" s="320"/>
      <c r="F9" s="317"/>
      <c r="G9" s="318"/>
      <c r="H9" s="319"/>
      <c r="I9" s="505"/>
      <c r="J9" s="506"/>
    </row>
    <row r="10" spans="1:10" ht="24.75" customHeight="1">
      <c r="A10" s="317"/>
      <c r="B10" s="318"/>
      <c r="C10" s="319"/>
      <c r="D10" s="320"/>
      <c r="F10" s="317"/>
      <c r="G10" s="318"/>
      <c r="H10" s="319"/>
      <c r="I10" s="505"/>
      <c r="J10" s="506"/>
    </row>
    <row r="11" spans="1:10" ht="24.75" customHeight="1">
      <c r="A11" s="317"/>
      <c r="B11" s="318"/>
      <c r="C11" s="319"/>
      <c r="D11" s="320"/>
      <c r="F11" s="317"/>
      <c r="G11" s="318"/>
      <c r="H11" s="319"/>
      <c r="I11" s="505"/>
      <c r="J11" s="506"/>
    </row>
    <row r="12" spans="1:10" ht="24.75" customHeight="1">
      <c r="A12" s="317"/>
      <c r="B12" s="318"/>
      <c r="C12" s="319"/>
      <c r="D12" s="320"/>
      <c r="F12" s="317"/>
      <c r="G12" s="318"/>
      <c r="H12" s="319"/>
      <c r="I12" s="505"/>
      <c r="J12" s="506"/>
    </row>
    <row r="13" spans="1:10" ht="24.75" customHeight="1">
      <c r="A13" s="317"/>
      <c r="B13" s="318"/>
      <c r="C13" s="319"/>
      <c r="D13" s="320"/>
      <c r="F13" s="317"/>
      <c r="G13" s="318"/>
      <c r="H13" s="319"/>
      <c r="I13" s="505"/>
      <c r="J13" s="506"/>
    </row>
    <row r="14" spans="1:10" ht="24.75" customHeight="1">
      <c r="A14" s="317"/>
      <c r="B14" s="318"/>
      <c r="C14" s="319"/>
      <c r="D14" s="320"/>
      <c r="F14" s="317"/>
      <c r="G14" s="318"/>
      <c r="H14" s="319"/>
      <c r="I14" s="505"/>
      <c r="J14" s="506"/>
    </row>
    <row r="15" spans="1:10" ht="24.75" customHeight="1" thickBot="1">
      <c r="A15" s="317"/>
      <c r="B15" s="318"/>
      <c r="C15" s="319"/>
      <c r="D15" s="320"/>
      <c r="F15" s="321"/>
      <c r="G15" s="322"/>
      <c r="H15" s="323"/>
      <c r="I15" s="507"/>
      <c r="J15" s="508"/>
    </row>
    <row r="16" spans="1:10" ht="24.75" customHeight="1" thickBot="1">
      <c r="A16" s="317"/>
      <c r="B16" s="318"/>
      <c r="C16" s="319"/>
      <c r="D16" s="320"/>
      <c r="F16" s="519" t="s">
        <v>371</v>
      </c>
      <c r="G16" s="520"/>
      <c r="H16" s="301">
        <f>SUM(H3:H15)</f>
        <v>0</v>
      </c>
      <c r="I16" s="303"/>
      <c r="J16" s="304"/>
    </row>
    <row r="17" spans="1:10" ht="24.75" customHeight="1" thickBot="1">
      <c r="A17" s="321"/>
      <c r="B17" s="322"/>
      <c r="C17" s="323"/>
      <c r="D17" s="324"/>
    </row>
    <row r="18" spans="1:10" ht="24.75" customHeight="1" thickBot="1">
      <c r="A18" s="519" t="s">
        <v>371</v>
      </c>
      <c r="B18" s="520"/>
      <c r="C18" s="301">
        <f>SUM(C3:C17)</f>
        <v>0</v>
      </c>
      <c r="D18" s="302"/>
      <c r="F18" s="512" t="s">
        <v>370</v>
      </c>
      <c r="G18" s="512"/>
    </row>
    <row r="19" spans="1:10" ht="20.25" customHeight="1">
      <c r="F19" s="513" t="s">
        <v>114</v>
      </c>
      <c r="G19" s="515" t="s">
        <v>115</v>
      </c>
      <c r="H19" s="515" t="s">
        <v>116</v>
      </c>
      <c r="I19" s="517" t="s">
        <v>22</v>
      </c>
      <c r="J19" s="298" t="s">
        <v>117</v>
      </c>
    </row>
    <row r="20" spans="1:10" ht="24.75" customHeight="1" thickBot="1">
      <c r="A20" s="512" t="s">
        <v>144</v>
      </c>
      <c r="B20" s="512"/>
      <c r="F20" s="514"/>
      <c r="G20" s="516"/>
      <c r="H20" s="516"/>
      <c r="I20" s="518"/>
      <c r="J20" s="299" t="s">
        <v>118</v>
      </c>
    </row>
    <row r="21" spans="1:10" ht="24.75" customHeight="1">
      <c r="A21" s="293" t="s">
        <v>107</v>
      </c>
      <c r="B21" s="294" t="s">
        <v>108</v>
      </c>
      <c r="C21" s="294" t="s">
        <v>109</v>
      </c>
      <c r="D21" s="295" t="s">
        <v>22</v>
      </c>
      <c r="F21" s="317"/>
      <c r="G21" s="318"/>
      <c r="H21" s="319"/>
      <c r="I21" s="329"/>
      <c r="J21" s="330"/>
    </row>
    <row r="22" spans="1:10" ht="24.75" customHeight="1">
      <c r="A22" s="317"/>
      <c r="B22" s="318"/>
      <c r="C22" s="319"/>
      <c r="D22" s="320"/>
      <c r="F22" s="317"/>
      <c r="G22" s="318"/>
      <c r="H22" s="319"/>
      <c r="I22" s="329"/>
      <c r="J22" s="330"/>
    </row>
    <row r="23" spans="1:10" ht="24.75" customHeight="1" thickBot="1">
      <c r="A23" s="325"/>
      <c r="B23" s="326"/>
      <c r="C23" s="327"/>
      <c r="D23" s="328"/>
      <c r="F23" s="317"/>
      <c r="G23" s="318"/>
      <c r="H23" s="319"/>
      <c r="I23" s="329"/>
      <c r="J23" s="330"/>
    </row>
    <row r="24" spans="1:10" ht="24.75" customHeight="1" thickBot="1">
      <c r="A24" s="521" t="s">
        <v>371</v>
      </c>
      <c r="B24" s="522"/>
      <c r="C24" s="296">
        <f>SUM(C22:C23)</f>
        <v>0</v>
      </c>
      <c r="D24" s="297"/>
      <c r="F24" s="317"/>
      <c r="G24" s="318"/>
      <c r="H24" s="319"/>
      <c r="I24" s="329"/>
      <c r="J24" s="330"/>
    </row>
    <row r="25" spans="1:10" ht="24.75" customHeight="1">
      <c r="A25" s="300"/>
      <c r="B25" s="300"/>
      <c r="C25" s="300"/>
      <c r="D25" s="300"/>
      <c r="F25" s="317"/>
      <c r="G25" s="318"/>
      <c r="H25" s="319"/>
      <c r="I25" s="329"/>
      <c r="J25" s="330"/>
    </row>
    <row r="26" spans="1:10" ht="24.75" customHeight="1">
      <c r="F26" s="317"/>
      <c r="G26" s="318"/>
      <c r="H26" s="319"/>
      <c r="I26" s="329"/>
      <c r="J26" s="330"/>
    </row>
    <row r="27" spans="1:10" ht="24.75" customHeight="1" thickBot="1">
      <c r="A27" s="512" t="s">
        <v>112</v>
      </c>
      <c r="B27" s="512"/>
      <c r="F27" s="317"/>
      <c r="G27" s="318"/>
      <c r="H27" s="319"/>
      <c r="I27" s="329"/>
      <c r="J27" s="330"/>
    </row>
    <row r="28" spans="1:10" ht="24.75" customHeight="1">
      <c r="A28" s="293" t="s">
        <v>99</v>
      </c>
      <c r="B28" s="294" t="s">
        <v>22</v>
      </c>
      <c r="C28" s="294" t="s">
        <v>110</v>
      </c>
      <c r="D28" s="295" t="s">
        <v>111</v>
      </c>
      <c r="F28" s="317"/>
      <c r="G28" s="318"/>
      <c r="H28" s="319"/>
      <c r="I28" s="329"/>
      <c r="J28" s="330"/>
    </row>
    <row r="29" spans="1:10" ht="24.75" customHeight="1">
      <c r="A29" s="317"/>
      <c r="B29" s="318"/>
      <c r="C29" s="319"/>
      <c r="D29" s="320"/>
      <c r="F29" s="317"/>
      <c r="G29" s="318"/>
      <c r="H29" s="319"/>
      <c r="I29" s="329"/>
      <c r="J29" s="330"/>
    </row>
    <row r="30" spans="1:10" ht="24.75" customHeight="1">
      <c r="A30" s="317"/>
      <c r="B30" s="318"/>
      <c r="C30" s="319"/>
      <c r="D30" s="320"/>
      <c r="F30" s="317"/>
      <c r="G30" s="318"/>
      <c r="H30" s="319"/>
      <c r="I30" s="329"/>
      <c r="J30" s="330"/>
    </row>
    <row r="31" spans="1:10" ht="22.5" customHeight="1">
      <c r="A31" s="317"/>
      <c r="B31" s="318"/>
      <c r="C31" s="319"/>
      <c r="D31" s="320"/>
      <c r="F31" s="317"/>
      <c r="G31" s="318"/>
      <c r="H31" s="319"/>
      <c r="I31" s="329"/>
      <c r="J31" s="330"/>
    </row>
    <row r="32" spans="1:10" ht="22.5" customHeight="1" thickBot="1">
      <c r="A32" s="321"/>
      <c r="B32" s="322"/>
      <c r="C32" s="323"/>
      <c r="D32" s="324"/>
      <c r="F32" s="321"/>
      <c r="G32" s="322"/>
      <c r="H32" s="323"/>
      <c r="I32" s="331"/>
      <c r="J32" s="332"/>
    </row>
    <row r="33" spans="1:10" ht="22.5" customHeight="1" thickBot="1">
      <c r="A33" s="519" t="s">
        <v>371</v>
      </c>
      <c r="B33" s="520"/>
      <c r="C33" s="301">
        <f>SUM(C29:C32)</f>
        <v>0</v>
      </c>
      <c r="D33" s="302"/>
      <c r="F33" s="519" t="s">
        <v>371</v>
      </c>
      <c r="G33" s="520"/>
      <c r="H33" s="301">
        <f>SUM(H29:H32)</f>
        <v>0</v>
      </c>
      <c r="I33" s="303"/>
      <c r="J33" s="304"/>
    </row>
    <row r="34" spans="1:10" ht="15.75" customHeight="1">
      <c r="F34" s="509"/>
      <c r="G34" s="509"/>
      <c r="H34" s="509"/>
      <c r="I34" s="509"/>
      <c r="J34" s="509"/>
    </row>
    <row r="35" spans="1:10" ht="15.75" customHeight="1"/>
  </sheetData>
  <mergeCells count="29">
    <mergeCell ref="A1:B1"/>
    <mergeCell ref="A20:B20"/>
    <mergeCell ref="F1:G1"/>
    <mergeCell ref="A18:B18"/>
    <mergeCell ref="A24:B24"/>
    <mergeCell ref="I9:J9"/>
    <mergeCell ref="I10:J10"/>
    <mergeCell ref="I11:J11"/>
    <mergeCell ref="I12:J12"/>
    <mergeCell ref="A33:B33"/>
    <mergeCell ref="F16:G16"/>
    <mergeCell ref="F33:G33"/>
    <mergeCell ref="A27:B27"/>
    <mergeCell ref="I13:J13"/>
    <mergeCell ref="I14:J14"/>
    <mergeCell ref="I15:J15"/>
    <mergeCell ref="F34:J34"/>
    <mergeCell ref="I2:J2"/>
    <mergeCell ref="F18:G18"/>
    <mergeCell ref="F19:F20"/>
    <mergeCell ref="G19:G20"/>
    <mergeCell ref="H19:H20"/>
    <mergeCell ref="I19:I20"/>
    <mergeCell ref="I3:J3"/>
    <mergeCell ref="I4:J4"/>
    <mergeCell ref="I5:J5"/>
    <mergeCell ref="I6:J6"/>
    <mergeCell ref="I7:J7"/>
    <mergeCell ref="I8:J8"/>
  </mergeCells>
  <phoneticPr fontId="1"/>
  <pageMargins left="0.78740157480314965" right="0.31496062992125984" top="0.78740157480314965" bottom="0.35433070866141736" header="0.31496062992125984" footer="0.31496062992125984"/>
  <pageSetup paperSize="9" scale="6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D808-A314-4EF2-A165-8A33C3A85C2E}">
  <sheetPr>
    <pageSetUpPr fitToPage="1"/>
  </sheetPr>
  <dimension ref="A1:AN32"/>
  <sheetViews>
    <sheetView topLeftCell="A26" workbookViewId="0">
      <selection activeCell="V34" sqref="V34"/>
    </sheetView>
  </sheetViews>
  <sheetFormatPr defaultRowHeight="31.5" customHeight="1"/>
  <cols>
    <col min="1" max="1" width="1.25" customWidth="1"/>
    <col min="2" max="2" width="12.75" customWidth="1"/>
    <col min="3" max="4" width="1.25" customWidth="1"/>
    <col min="5" max="5" width="5.625" customWidth="1"/>
    <col min="6" max="7" width="1.25" customWidth="1"/>
    <col min="8" max="8" width="12.75" customWidth="1"/>
    <col min="9" max="10" width="1.25" customWidth="1"/>
    <col min="11" max="11" width="12.75" customWidth="1"/>
    <col min="12" max="12" width="1.25" customWidth="1"/>
    <col min="13" max="14" width="0.25" customWidth="1"/>
    <col min="15" max="15" width="1.25" customWidth="1"/>
    <col min="16" max="16" width="12.75" customWidth="1"/>
    <col min="17" max="18" width="1.25" customWidth="1"/>
    <col min="19" max="19" width="5.625" customWidth="1"/>
    <col min="20" max="21" width="1.25" customWidth="1"/>
    <col min="22" max="22" width="12.75" customWidth="1"/>
    <col min="23" max="24" width="1.25" customWidth="1"/>
    <col min="25" max="25" width="12.75" customWidth="1"/>
    <col min="26" max="26" width="1.25" customWidth="1"/>
    <col min="27" max="27" width="15.375" customWidth="1"/>
    <col min="28" max="28" width="5.125" customWidth="1"/>
    <col min="40" max="40" width="4.875" customWidth="1"/>
  </cols>
  <sheetData>
    <row r="1" spans="1:40" ht="31.5" customHeight="1" thickBot="1">
      <c r="B1" s="528" t="s">
        <v>124</v>
      </c>
      <c r="C1" s="528"/>
      <c r="D1" s="528"/>
      <c r="E1" s="528"/>
      <c r="F1" s="528"/>
      <c r="P1" s="30"/>
      <c r="Q1" s="30"/>
      <c r="R1" s="30"/>
      <c r="S1" s="30"/>
      <c r="AB1" s="472" t="s">
        <v>187</v>
      </c>
      <c r="AC1" s="472"/>
      <c r="AD1" s="472"/>
      <c r="AE1" s="472"/>
      <c r="AF1" s="472"/>
    </row>
    <row r="2" spans="1:40" ht="31.5" customHeight="1">
      <c r="A2" s="25"/>
      <c r="B2" s="26" t="s">
        <v>120</v>
      </c>
      <c r="C2" s="27"/>
      <c r="D2" s="28"/>
      <c r="E2" s="26" t="s">
        <v>119</v>
      </c>
      <c r="F2" s="27"/>
      <c r="G2" s="28"/>
      <c r="H2" s="26" t="s">
        <v>121</v>
      </c>
      <c r="I2" s="27"/>
      <c r="J2" s="28"/>
      <c r="K2" s="26" t="s">
        <v>109</v>
      </c>
      <c r="L2" s="26"/>
      <c r="M2" s="529"/>
      <c r="N2" s="530"/>
      <c r="O2" s="26"/>
      <c r="P2" s="26" t="s">
        <v>120</v>
      </c>
      <c r="Q2" s="27"/>
      <c r="R2" s="28"/>
      <c r="S2" s="26" t="s">
        <v>119</v>
      </c>
      <c r="T2" s="27"/>
      <c r="U2" s="28"/>
      <c r="V2" s="26" t="s">
        <v>121</v>
      </c>
      <c r="W2" s="27"/>
      <c r="X2" s="28"/>
      <c r="Y2" s="26" t="s">
        <v>109</v>
      </c>
      <c r="Z2" s="29"/>
      <c r="AB2" s="130"/>
      <c r="AC2" s="131" t="s">
        <v>313</v>
      </c>
      <c r="AD2" s="131"/>
      <c r="AE2" s="131"/>
      <c r="AF2" s="131"/>
      <c r="AG2" s="131"/>
      <c r="AH2" s="131"/>
      <c r="AI2" s="131"/>
      <c r="AJ2" s="131"/>
      <c r="AK2" s="131"/>
      <c r="AL2" s="131"/>
      <c r="AM2" s="131"/>
      <c r="AN2" s="132"/>
    </row>
    <row r="3" spans="1:40" ht="31.5" customHeight="1">
      <c r="A3" s="306"/>
      <c r="B3" s="307"/>
      <c r="C3" s="308"/>
      <c r="D3" s="309"/>
      <c r="E3" s="225"/>
      <c r="F3" s="313"/>
      <c r="G3" s="314"/>
      <c r="H3" s="226"/>
      <c r="I3" s="205"/>
      <c r="J3" s="314"/>
      <c r="K3" s="225"/>
      <c r="L3" s="205"/>
      <c r="M3" s="531"/>
      <c r="N3" s="532"/>
      <c r="O3" s="310"/>
      <c r="P3" s="307"/>
      <c r="Q3" s="308"/>
      <c r="R3" s="309"/>
      <c r="S3" s="225"/>
      <c r="T3" s="315"/>
      <c r="U3" s="314"/>
      <c r="V3" s="225"/>
      <c r="W3" s="205"/>
      <c r="X3" s="314"/>
      <c r="Y3" s="225"/>
      <c r="Z3" s="311"/>
      <c r="AB3" s="133"/>
      <c r="AC3" t="s">
        <v>311</v>
      </c>
      <c r="AI3" t="s">
        <v>312</v>
      </c>
      <c r="AN3" s="134"/>
    </row>
    <row r="4" spans="1:40" ht="31.5" customHeight="1">
      <c r="A4" s="306"/>
      <c r="B4" s="307"/>
      <c r="C4" s="308"/>
      <c r="D4" s="309"/>
      <c r="E4" s="225"/>
      <c r="F4" s="313"/>
      <c r="G4" s="314"/>
      <c r="H4" s="225"/>
      <c r="I4" s="315"/>
      <c r="J4" s="314"/>
      <c r="K4" s="225"/>
      <c r="L4" s="316"/>
      <c r="M4" s="531"/>
      <c r="N4" s="532"/>
      <c r="O4" s="310"/>
      <c r="P4" s="307"/>
      <c r="Q4" s="308"/>
      <c r="R4" s="309"/>
      <c r="S4" s="225"/>
      <c r="T4" s="315"/>
      <c r="U4" s="314"/>
      <c r="V4" s="225"/>
      <c r="W4" s="315"/>
      <c r="X4" s="314"/>
      <c r="Y4" s="225"/>
      <c r="Z4" s="312"/>
      <c r="AB4" s="133"/>
      <c r="AC4" s="533"/>
      <c r="AD4" s="534"/>
      <c r="AE4" s="534"/>
      <c r="AF4" s="534"/>
      <c r="AG4" s="535"/>
      <c r="AI4" s="533"/>
      <c r="AJ4" s="534"/>
      <c r="AK4" s="534"/>
      <c r="AL4" s="534"/>
      <c r="AM4" s="535"/>
      <c r="AN4" s="134"/>
    </row>
    <row r="5" spans="1:40" ht="31.5" customHeight="1">
      <c r="A5" s="306"/>
      <c r="B5" s="307"/>
      <c r="C5" s="308"/>
      <c r="D5" s="309"/>
      <c r="E5" s="225"/>
      <c r="F5" s="313"/>
      <c r="G5" s="314"/>
      <c r="H5" s="225"/>
      <c r="I5" s="315"/>
      <c r="J5" s="314"/>
      <c r="K5" s="225"/>
      <c r="L5" s="316"/>
      <c r="M5" s="531"/>
      <c r="N5" s="532"/>
      <c r="O5" s="310"/>
      <c r="P5" s="307"/>
      <c r="Q5" s="308"/>
      <c r="R5" s="309"/>
      <c r="S5" s="225"/>
      <c r="T5" s="315"/>
      <c r="U5" s="314"/>
      <c r="V5" s="225"/>
      <c r="W5" s="315"/>
      <c r="X5" s="314"/>
      <c r="Y5" s="225"/>
      <c r="Z5" s="312"/>
      <c r="AB5" s="133"/>
      <c r="AN5" s="134"/>
    </row>
    <row r="6" spans="1:40" ht="31.5" customHeight="1">
      <c r="A6" s="306"/>
      <c r="B6" s="307"/>
      <c r="C6" s="308"/>
      <c r="D6" s="309"/>
      <c r="E6" s="225"/>
      <c r="F6" s="313"/>
      <c r="G6" s="314"/>
      <c r="H6" s="225"/>
      <c r="I6" s="315"/>
      <c r="J6" s="314"/>
      <c r="K6" s="225"/>
      <c r="L6" s="316"/>
      <c r="M6" s="531"/>
      <c r="N6" s="532"/>
      <c r="O6" s="310"/>
      <c r="P6" s="307"/>
      <c r="Q6" s="308"/>
      <c r="R6" s="309"/>
      <c r="S6" s="225"/>
      <c r="T6" s="315"/>
      <c r="U6" s="314"/>
      <c r="V6" s="225"/>
      <c r="W6" s="315"/>
      <c r="X6" s="314"/>
      <c r="Y6" s="225"/>
      <c r="Z6" s="312"/>
      <c r="AB6" s="133"/>
      <c r="AC6" t="s">
        <v>314</v>
      </c>
      <c r="AN6" s="134"/>
    </row>
    <row r="7" spans="1:40" ht="31.5" customHeight="1">
      <c r="A7" s="306"/>
      <c r="B7" s="307"/>
      <c r="C7" s="308"/>
      <c r="D7" s="309"/>
      <c r="E7" s="225"/>
      <c r="F7" s="313"/>
      <c r="G7" s="314"/>
      <c r="H7" s="225"/>
      <c r="I7" s="315"/>
      <c r="J7" s="314"/>
      <c r="K7" s="225"/>
      <c r="L7" s="316"/>
      <c r="M7" s="531"/>
      <c r="N7" s="532"/>
      <c r="O7" s="310"/>
      <c r="P7" s="307"/>
      <c r="Q7" s="308"/>
      <c r="R7" s="309"/>
      <c r="S7" s="225"/>
      <c r="T7" s="315"/>
      <c r="U7" s="314"/>
      <c r="V7" s="225"/>
      <c r="W7" s="315"/>
      <c r="X7" s="314"/>
      <c r="Y7" s="225"/>
      <c r="Z7" s="312"/>
      <c r="AB7" s="133"/>
      <c r="AC7" s="524" t="s">
        <v>315</v>
      </c>
      <c r="AD7" s="524"/>
      <c r="AE7" s="524"/>
      <c r="AF7" s="524"/>
      <c r="AG7" s="524" t="s">
        <v>316</v>
      </c>
      <c r="AH7" s="524"/>
      <c r="AI7" s="524" t="s">
        <v>317</v>
      </c>
      <c r="AJ7" s="524"/>
      <c r="AK7" s="524" t="s">
        <v>318</v>
      </c>
      <c r="AL7" s="524"/>
      <c r="AN7" s="134"/>
    </row>
    <row r="8" spans="1:40" ht="31.5" customHeight="1">
      <c r="A8" s="306"/>
      <c r="B8" s="307"/>
      <c r="C8" s="308"/>
      <c r="D8" s="309"/>
      <c r="E8" s="225"/>
      <c r="F8" s="313"/>
      <c r="G8" s="314"/>
      <c r="H8" s="225"/>
      <c r="I8" s="315"/>
      <c r="J8" s="314"/>
      <c r="K8" s="225"/>
      <c r="L8" s="316"/>
      <c r="M8" s="531"/>
      <c r="N8" s="532"/>
      <c r="O8" s="310"/>
      <c r="P8" s="307"/>
      <c r="Q8" s="308"/>
      <c r="R8" s="309"/>
      <c r="S8" s="225"/>
      <c r="T8" s="315"/>
      <c r="U8" s="314"/>
      <c r="V8" s="225"/>
      <c r="W8" s="315"/>
      <c r="X8" s="314"/>
      <c r="Y8" s="225"/>
      <c r="Z8" s="312"/>
      <c r="AB8" s="133"/>
      <c r="AC8" s="523"/>
      <c r="AD8" s="523"/>
      <c r="AE8" s="523"/>
      <c r="AF8" s="523"/>
      <c r="AG8" s="523"/>
      <c r="AH8" s="523"/>
      <c r="AI8" s="523"/>
      <c r="AJ8" s="523"/>
      <c r="AK8" s="523"/>
      <c r="AL8" s="523"/>
      <c r="AN8" s="134"/>
    </row>
    <row r="9" spans="1:40" ht="31.5" customHeight="1">
      <c r="A9" s="306"/>
      <c r="B9" s="307"/>
      <c r="C9" s="308"/>
      <c r="D9" s="309"/>
      <c r="E9" s="225"/>
      <c r="F9" s="313"/>
      <c r="G9" s="314"/>
      <c r="H9" s="225"/>
      <c r="I9" s="315"/>
      <c r="J9" s="314"/>
      <c r="K9" s="225"/>
      <c r="L9" s="316"/>
      <c r="M9" s="531"/>
      <c r="N9" s="532"/>
      <c r="O9" s="310"/>
      <c r="P9" s="307"/>
      <c r="Q9" s="308"/>
      <c r="R9" s="309"/>
      <c r="S9" s="225"/>
      <c r="T9" s="315"/>
      <c r="U9" s="314"/>
      <c r="V9" s="225"/>
      <c r="W9" s="315"/>
      <c r="X9" s="314"/>
      <c r="Y9" s="225"/>
      <c r="Z9" s="312"/>
      <c r="AB9" s="133"/>
      <c r="AC9" s="523"/>
      <c r="AD9" s="523"/>
      <c r="AE9" s="523"/>
      <c r="AF9" s="523"/>
      <c r="AG9" s="523"/>
      <c r="AH9" s="523"/>
      <c r="AI9" s="523"/>
      <c r="AJ9" s="523"/>
      <c r="AK9" s="523"/>
      <c r="AL9" s="523"/>
      <c r="AN9" s="134"/>
    </row>
    <row r="10" spans="1:40" ht="31.5" customHeight="1">
      <c r="A10" s="306"/>
      <c r="B10" s="307"/>
      <c r="C10" s="308"/>
      <c r="D10" s="309"/>
      <c r="E10" s="225"/>
      <c r="F10" s="313"/>
      <c r="G10" s="314"/>
      <c r="H10" s="225"/>
      <c r="I10" s="315"/>
      <c r="J10" s="314"/>
      <c r="K10" s="225"/>
      <c r="L10" s="316"/>
      <c r="M10" s="531"/>
      <c r="N10" s="532"/>
      <c r="O10" s="310"/>
      <c r="P10" s="307"/>
      <c r="Q10" s="308"/>
      <c r="R10" s="309"/>
      <c r="S10" s="225"/>
      <c r="T10" s="315"/>
      <c r="U10" s="314"/>
      <c r="V10" s="225"/>
      <c r="W10" s="315"/>
      <c r="X10" s="314"/>
      <c r="Y10" s="225"/>
      <c r="Z10" s="312"/>
      <c r="AB10" s="133"/>
      <c r="AC10" s="523"/>
      <c r="AD10" s="523"/>
      <c r="AE10" s="523"/>
      <c r="AF10" s="523"/>
      <c r="AG10" s="523"/>
      <c r="AH10" s="523"/>
      <c r="AI10" s="523"/>
      <c r="AJ10" s="523"/>
      <c r="AK10" s="523"/>
      <c r="AL10" s="523"/>
      <c r="AN10" s="134"/>
    </row>
    <row r="11" spans="1:40" ht="31.5" customHeight="1">
      <c r="A11" s="306"/>
      <c r="B11" s="307"/>
      <c r="C11" s="308"/>
      <c r="D11" s="309"/>
      <c r="E11" s="225"/>
      <c r="F11" s="313"/>
      <c r="G11" s="314"/>
      <c r="H11" s="225"/>
      <c r="I11" s="315"/>
      <c r="J11" s="314"/>
      <c r="K11" s="225"/>
      <c r="L11" s="316"/>
      <c r="M11" s="531"/>
      <c r="N11" s="532"/>
      <c r="O11" s="310"/>
      <c r="P11" s="307"/>
      <c r="Q11" s="308"/>
      <c r="R11" s="309"/>
      <c r="S11" s="225"/>
      <c r="T11" s="315"/>
      <c r="U11" s="314"/>
      <c r="V11" s="225"/>
      <c r="W11" s="315"/>
      <c r="X11" s="314"/>
      <c r="Y11" s="225"/>
      <c r="Z11" s="312"/>
      <c r="AB11" s="227" t="s">
        <v>358</v>
      </c>
      <c r="AC11" s="228"/>
      <c r="AD11" s="228"/>
      <c r="AE11" s="228"/>
      <c r="AF11" s="228"/>
      <c r="AG11" s="228"/>
      <c r="AH11" s="228"/>
      <c r="AI11" s="228"/>
      <c r="AJ11" s="228"/>
      <c r="AK11" s="228"/>
      <c r="AL11" s="228"/>
      <c r="AM11" s="228"/>
      <c r="AN11" s="229"/>
    </row>
    <row r="12" spans="1:40" ht="31.5" customHeight="1">
      <c r="A12" s="306"/>
      <c r="B12" s="307"/>
      <c r="C12" s="308"/>
      <c r="D12" s="309"/>
      <c r="E12" s="225"/>
      <c r="F12" s="313"/>
      <c r="G12" s="314"/>
      <c r="H12" s="225"/>
      <c r="I12" s="315"/>
      <c r="J12" s="314"/>
      <c r="K12" s="225"/>
      <c r="L12" s="316"/>
      <c r="M12" s="531"/>
      <c r="N12" s="532"/>
      <c r="O12" s="310"/>
      <c r="P12" s="307"/>
      <c r="Q12" s="308"/>
      <c r="R12" s="309"/>
      <c r="S12" s="225"/>
      <c r="T12" s="315"/>
      <c r="U12" s="314"/>
      <c r="V12" s="225"/>
      <c r="W12" s="315"/>
      <c r="X12" s="314"/>
      <c r="Y12" s="225"/>
      <c r="Z12" s="312"/>
      <c r="AB12" s="227"/>
      <c r="AC12" s="228"/>
      <c r="AD12" s="228"/>
      <c r="AE12" s="228"/>
      <c r="AF12" s="228"/>
      <c r="AG12" s="228"/>
      <c r="AH12" s="228"/>
      <c r="AI12" s="228"/>
      <c r="AJ12" s="228"/>
      <c r="AK12" s="228"/>
      <c r="AL12" s="228"/>
      <c r="AM12" s="228"/>
      <c r="AN12" s="229"/>
    </row>
    <row r="13" spans="1:40" ht="31.5" customHeight="1">
      <c r="A13" s="306"/>
      <c r="B13" s="307"/>
      <c r="C13" s="308"/>
      <c r="D13" s="309"/>
      <c r="E13" s="225"/>
      <c r="F13" s="313"/>
      <c r="G13" s="314"/>
      <c r="H13" s="225"/>
      <c r="I13" s="315"/>
      <c r="J13" s="314"/>
      <c r="K13" s="225"/>
      <c r="L13" s="316"/>
      <c r="M13" s="531"/>
      <c r="N13" s="532"/>
      <c r="O13" s="310"/>
      <c r="P13" s="307"/>
      <c r="Q13" s="308"/>
      <c r="R13" s="309"/>
      <c r="S13" s="225"/>
      <c r="T13" s="315"/>
      <c r="U13" s="314"/>
      <c r="V13" s="225"/>
      <c r="W13" s="315"/>
      <c r="X13" s="314"/>
      <c r="Y13" s="225"/>
      <c r="Z13" s="312"/>
      <c r="AB13" s="227"/>
      <c r="AC13" s="228"/>
      <c r="AD13" s="228"/>
      <c r="AE13" s="228"/>
      <c r="AF13" s="228"/>
      <c r="AG13" s="228"/>
      <c r="AH13" s="228"/>
      <c r="AI13" s="228"/>
      <c r="AJ13" s="228"/>
      <c r="AK13" s="228"/>
      <c r="AL13" s="228"/>
      <c r="AM13" s="228"/>
      <c r="AN13" s="229"/>
    </row>
    <row r="14" spans="1:40" ht="31.5" customHeight="1">
      <c r="A14" s="306"/>
      <c r="B14" s="307"/>
      <c r="C14" s="308"/>
      <c r="D14" s="309"/>
      <c r="E14" s="225"/>
      <c r="F14" s="313"/>
      <c r="G14" s="314"/>
      <c r="H14" s="225"/>
      <c r="I14" s="315"/>
      <c r="J14" s="314"/>
      <c r="K14" s="225"/>
      <c r="L14" s="316"/>
      <c r="M14" s="531"/>
      <c r="N14" s="532"/>
      <c r="O14" s="310"/>
      <c r="P14" s="307"/>
      <c r="Q14" s="308"/>
      <c r="R14" s="309"/>
      <c r="S14" s="225"/>
      <c r="T14" s="315"/>
      <c r="U14" s="314"/>
      <c r="V14" s="225"/>
      <c r="W14" s="315"/>
      <c r="X14" s="314"/>
      <c r="Y14" s="225"/>
      <c r="Z14" s="312"/>
      <c r="AB14" s="227"/>
      <c r="AC14" s="228"/>
      <c r="AD14" s="228"/>
      <c r="AE14" s="228"/>
      <c r="AF14" s="228"/>
      <c r="AG14" s="228"/>
      <c r="AH14" s="228"/>
      <c r="AI14" s="228"/>
      <c r="AJ14" s="228"/>
      <c r="AK14" s="228"/>
      <c r="AL14" s="228"/>
      <c r="AM14" s="228"/>
      <c r="AN14" s="229"/>
    </row>
    <row r="15" spans="1:40" ht="31.5" customHeight="1">
      <c r="A15" s="306"/>
      <c r="B15" s="307"/>
      <c r="C15" s="308"/>
      <c r="D15" s="309"/>
      <c r="E15" s="225"/>
      <c r="F15" s="313"/>
      <c r="G15" s="314"/>
      <c r="H15" s="225"/>
      <c r="I15" s="315"/>
      <c r="J15" s="314"/>
      <c r="K15" s="225"/>
      <c r="L15" s="316"/>
      <c r="M15" s="531"/>
      <c r="N15" s="532"/>
      <c r="O15" s="310"/>
      <c r="P15" s="307"/>
      <c r="Q15" s="308"/>
      <c r="R15" s="309"/>
      <c r="S15" s="225"/>
      <c r="T15" s="315"/>
      <c r="U15" s="314"/>
      <c r="V15" s="225"/>
      <c r="W15" s="315"/>
      <c r="X15" s="314"/>
      <c r="Y15" s="225"/>
      <c r="Z15" s="312"/>
      <c r="AB15" s="227"/>
      <c r="AC15" s="228"/>
      <c r="AD15" s="228"/>
      <c r="AE15" s="228"/>
      <c r="AF15" s="228"/>
      <c r="AG15" s="228"/>
      <c r="AH15" s="228"/>
      <c r="AI15" s="228"/>
      <c r="AJ15" s="228"/>
      <c r="AK15" s="228"/>
      <c r="AL15" s="228"/>
      <c r="AM15" s="228"/>
      <c r="AN15" s="229"/>
    </row>
    <row r="16" spans="1:40" ht="31.5" customHeight="1">
      <c r="A16" s="306"/>
      <c r="B16" s="307"/>
      <c r="C16" s="308"/>
      <c r="D16" s="309"/>
      <c r="E16" s="225"/>
      <c r="F16" s="313"/>
      <c r="G16" s="314"/>
      <c r="H16" s="225"/>
      <c r="I16" s="315"/>
      <c r="J16" s="314"/>
      <c r="K16" s="225"/>
      <c r="L16" s="316"/>
      <c r="M16" s="531"/>
      <c r="N16" s="532"/>
      <c r="O16" s="310"/>
      <c r="P16" s="307"/>
      <c r="Q16" s="308"/>
      <c r="R16" s="309"/>
      <c r="S16" s="225"/>
      <c r="T16" s="315"/>
      <c r="U16" s="314"/>
      <c r="V16" s="225"/>
      <c r="W16" s="315"/>
      <c r="X16" s="314"/>
      <c r="Y16" s="225"/>
      <c r="Z16" s="312"/>
      <c r="AB16" s="227"/>
      <c r="AC16" s="228"/>
      <c r="AD16" s="228"/>
      <c r="AE16" s="228"/>
      <c r="AF16" s="228"/>
      <c r="AG16" s="228"/>
      <c r="AH16" s="228"/>
      <c r="AI16" s="228"/>
      <c r="AJ16" s="228"/>
      <c r="AK16" s="228"/>
      <c r="AL16" s="228"/>
      <c r="AM16" s="228"/>
      <c r="AN16" s="229"/>
    </row>
    <row r="17" spans="1:40" ht="31.5" customHeight="1">
      <c r="A17" s="306"/>
      <c r="B17" s="307"/>
      <c r="C17" s="308"/>
      <c r="D17" s="309"/>
      <c r="E17" s="225"/>
      <c r="F17" s="313"/>
      <c r="G17" s="314"/>
      <c r="H17" s="225"/>
      <c r="I17" s="315"/>
      <c r="J17" s="314"/>
      <c r="K17" s="225"/>
      <c r="L17" s="316"/>
      <c r="M17" s="531"/>
      <c r="N17" s="532"/>
      <c r="O17" s="310"/>
      <c r="P17" s="307"/>
      <c r="Q17" s="308"/>
      <c r="R17" s="309"/>
      <c r="S17" s="225"/>
      <c r="T17" s="315"/>
      <c r="U17" s="314"/>
      <c r="V17" s="225"/>
      <c r="W17" s="315"/>
      <c r="X17" s="314"/>
      <c r="Y17" s="225"/>
      <c r="Z17" s="312"/>
      <c r="AB17" s="227"/>
      <c r="AC17" s="228"/>
      <c r="AD17" s="228"/>
      <c r="AE17" s="228"/>
      <c r="AF17" s="228"/>
      <c r="AG17" s="228"/>
      <c r="AH17" s="228"/>
      <c r="AI17" s="228"/>
      <c r="AJ17" s="228"/>
      <c r="AK17" s="228"/>
      <c r="AL17" s="228"/>
      <c r="AM17" s="228"/>
      <c r="AN17" s="229"/>
    </row>
    <row r="18" spans="1:40" ht="31.5" customHeight="1">
      <c r="A18" s="306"/>
      <c r="B18" s="307"/>
      <c r="C18" s="308"/>
      <c r="D18" s="309"/>
      <c r="E18" s="225"/>
      <c r="F18" s="313"/>
      <c r="G18" s="314"/>
      <c r="H18" s="225"/>
      <c r="I18" s="315"/>
      <c r="J18" s="314"/>
      <c r="K18" s="225"/>
      <c r="L18" s="316"/>
      <c r="M18" s="531"/>
      <c r="N18" s="532"/>
      <c r="O18" s="310"/>
      <c r="P18" s="307"/>
      <c r="Q18" s="308"/>
      <c r="R18" s="309"/>
      <c r="S18" s="225"/>
      <c r="T18" s="315"/>
      <c r="U18" s="314"/>
      <c r="V18" s="225"/>
      <c r="W18" s="315"/>
      <c r="X18" s="314"/>
      <c r="Y18" s="225"/>
      <c r="Z18" s="312"/>
      <c r="AB18" s="227"/>
      <c r="AC18" s="228"/>
      <c r="AD18" s="228"/>
      <c r="AE18" s="228"/>
      <c r="AF18" s="228"/>
      <c r="AG18" s="228"/>
      <c r="AH18" s="228"/>
      <c r="AI18" s="228"/>
      <c r="AJ18" s="228"/>
      <c r="AK18" s="228"/>
      <c r="AL18" s="228"/>
      <c r="AM18" s="228"/>
      <c r="AN18" s="229"/>
    </row>
    <row r="19" spans="1:40" ht="31.5" customHeight="1">
      <c r="A19" s="306"/>
      <c r="B19" s="307"/>
      <c r="C19" s="308"/>
      <c r="D19" s="309"/>
      <c r="E19" s="225"/>
      <c r="F19" s="313"/>
      <c r="G19" s="314"/>
      <c r="H19" s="225"/>
      <c r="I19" s="315"/>
      <c r="J19" s="314"/>
      <c r="K19" s="225"/>
      <c r="L19" s="316"/>
      <c r="M19" s="531"/>
      <c r="N19" s="532"/>
      <c r="O19" s="310"/>
      <c r="P19" s="307"/>
      <c r="Q19" s="308"/>
      <c r="R19" s="309"/>
      <c r="S19" s="225"/>
      <c r="T19" s="315"/>
      <c r="U19" s="314"/>
      <c r="V19" s="225"/>
      <c r="W19" s="315"/>
      <c r="X19" s="314"/>
      <c r="Y19" s="225"/>
      <c r="Z19" s="312"/>
      <c r="AB19" s="227"/>
      <c r="AC19" s="228"/>
      <c r="AD19" s="228"/>
      <c r="AE19" s="228"/>
      <c r="AF19" s="228"/>
      <c r="AG19" s="228"/>
      <c r="AH19" s="228"/>
      <c r="AI19" s="228"/>
      <c r="AJ19" s="228"/>
      <c r="AK19" s="228"/>
      <c r="AL19" s="228"/>
      <c r="AM19" s="228"/>
      <c r="AN19" s="229"/>
    </row>
    <row r="20" spans="1:40" ht="31.5" customHeight="1">
      <c r="A20" s="306"/>
      <c r="B20" s="307"/>
      <c r="C20" s="308"/>
      <c r="D20" s="309"/>
      <c r="E20" s="225"/>
      <c r="F20" s="313"/>
      <c r="G20" s="314"/>
      <c r="H20" s="225"/>
      <c r="I20" s="315"/>
      <c r="J20" s="314"/>
      <c r="K20" s="225"/>
      <c r="L20" s="316"/>
      <c r="M20" s="531"/>
      <c r="N20" s="532"/>
      <c r="O20" s="310"/>
      <c r="P20" s="307"/>
      <c r="Q20" s="308"/>
      <c r="R20" s="309"/>
      <c r="S20" s="225"/>
      <c r="T20" s="315"/>
      <c r="U20" s="314"/>
      <c r="V20" s="225"/>
      <c r="W20" s="315"/>
      <c r="X20" s="314"/>
      <c r="Y20" s="225"/>
      <c r="Z20" s="312"/>
      <c r="AB20" s="227"/>
      <c r="AC20" s="228"/>
      <c r="AD20" s="228"/>
      <c r="AE20" s="228"/>
      <c r="AF20" s="228"/>
      <c r="AG20" s="228"/>
      <c r="AH20" s="228"/>
      <c r="AI20" s="228"/>
      <c r="AJ20" s="228"/>
      <c r="AK20" s="228"/>
      <c r="AL20" s="228"/>
      <c r="AM20" s="228"/>
      <c r="AN20" s="229"/>
    </row>
    <row r="21" spans="1:40" ht="31.5" customHeight="1">
      <c r="A21" s="306"/>
      <c r="B21" s="307"/>
      <c r="C21" s="308"/>
      <c r="D21" s="309"/>
      <c r="E21" s="225"/>
      <c r="F21" s="313"/>
      <c r="G21" s="314"/>
      <c r="H21" s="225"/>
      <c r="I21" s="315"/>
      <c r="J21" s="314"/>
      <c r="K21" s="225"/>
      <c r="L21" s="316"/>
      <c r="M21" s="531"/>
      <c r="N21" s="532"/>
      <c r="O21" s="310"/>
      <c r="P21" s="307"/>
      <c r="Q21" s="308"/>
      <c r="R21" s="309"/>
      <c r="S21" s="225"/>
      <c r="T21" s="315"/>
      <c r="U21" s="314"/>
      <c r="V21" s="225"/>
      <c r="W21" s="315"/>
      <c r="X21" s="314"/>
      <c r="Y21" s="225"/>
      <c r="Z21" s="312"/>
      <c r="AB21" s="227"/>
      <c r="AC21" s="228"/>
      <c r="AD21" s="228"/>
      <c r="AE21" s="228"/>
      <c r="AF21" s="228"/>
      <c r="AG21" s="228"/>
      <c r="AH21" s="228"/>
      <c r="AI21" s="228"/>
      <c r="AJ21" s="228"/>
      <c r="AK21" s="228"/>
      <c r="AL21" s="228"/>
      <c r="AM21" s="228"/>
      <c r="AN21" s="229"/>
    </row>
    <row r="22" spans="1:40" ht="31.5" customHeight="1">
      <c r="A22" s="306"/>
      <c r="B22" s="307"/>
      <c r="C22" s="308"/>
      <c r="D22" s="309"/>
      <c r="E22" s="225"/>
      <c r="F22" s="313"/>
      <c r="G22" s="314"/>
      <c r="H22" s="225"/>
      <c r="I22" s="315"/>
      <c r="J22" s="314"/>
      <c r="K22" s="225"/>
      <c r="L22" s="316"/>
      <c r="M22" s="531"/>
      <c r="N22" s="532"/>
      <c r="O22" s="310"/>
      <c r="P22" s="307"/>
      <c r="Q22" s="308"/>
      <c r="R22" s="309"/>
      <c r="S22" s="225"/>
      <c r="T22" s="315"/>
      <c r="U22" s="314"/>
      <c r="V22" s="225"/>
      <c r="W22" s="315"/>
      <c r="X22" s="314"/>
      <c r="Y22" s="225"/>
      <c r="Z22" s="312"/>
      <c r="AB22" s="227"/>
      <c r="AC22" s="228"/>
      <c r="AD22" s="228"/>
      <c r="AE22" s="228"/>
      <c r="AF22" s="228"/>
      <c r="AG22" s="228"/>
      <c r="AH22" s="228"/>
      <c r="AI22" s="228"/>
      <c r="AJ22" s="228"/>
      <c r="AK22" s="228"/>
      <c r="AL22" s="228"/>
      <c r="AM22" s="228"/>
      <c r="AN22" s="229"/>
    </row>
    <row r="23" spans="1:40" ht="31.5" customHeight="1">
      <c r="A23" s="306"/>
      <c r="B23" s="307"/>
      <c r="C23" s="308"/>
      <c r="D23" s="309"/>
      <c r="E23" s="225"/>
      <c r="F23" s="313"/>
      <c r="G23" s="314"/>
      <c r="H23" s="225"/>
      <c r="I23" s="315"/>
      <c r="J23" s="314"/>
      <c r="K23" s="225"/>
      <c r="L23" s="316"/>
      <c r="M23" s="531"/>
      <c r="N23" s="532"/>
      <c r="O23" s="310"/>
      <c r="P23" s="307"/>
      <c r="Q23" s="308"/>
      <c r="R23" s="309"/>
      <c r="S23" s="225"/>
      <c r="T23" s="315"/>
      <c r="U23" s="314"/>
      <c r="V23" s="225"/>
      <c r="W23" s="315"/>
      <c r="X23" s="314"/>
      <c r="Y23" s="225"/>
      <c r="Z23" s="312"/>
      <c r="AB23" s="227"/>
      <c r="AC23" s="228"/>
      <c r="AD23" s="228"/>
      <c r="AE23" s="228"/>
      <c r="AF23" s="228"/>
      <c r="AG23" s="228"/>
      <c r="AH23" s="228"/>
      <c r="AI23" s="228"/>
      <c r="AJ23" s="228"/>
      <c r="AK23" s="228"/>
      <c r="AL23" s="228"/>
      <c r="AM23" s="228"/>
      <c r="AN23" s="229"/>
    </row>
    <row r="24" spans="1:40" ht="31.5" customHeight="1">
      <c r="A24" s="306"/>
      <c r="B24" s="307"/>
      <c r="C24" s="308"/>
      <c r="D24" s="309"/>
      <c r="E24" s="225"/>
      <c r="F24" s="313"/>
      <c r="G24" s="314"/>
      <c r="H24" s="225"/>
      <c r="I24" s="315"/>
      <c r="J24" s="314"/>
      <c r="K24" s="225"/>
      <c r="L24" s="316"/>
      <c r="M24" s="531"/>
      <c r="N24" s="532"/>
      <c r="O24" s="310"/>
      <c r="P24" s="307"/>
      <c r="Q24" s="308"/>
      <c r="R24" s="309"/>
      <c r="S24" s="225"/>
      <c r="T24" s="315"/>
      <c r="U24" s="314"/>
      <c r="V24" s="225"/>
      <c r="W24" s="315"/>
      <c r="X24" s="314"/>
      <c r="Y24" s="225"/>
      <c r="Z24" s="312"/>
      <c r="AB24" s="227"/>
      <c r="AC24" s="228"/>
      <c r="AD24" s="228"/>
      <c r="AE24" s="228"/>
      <c r="AF24" s="228"/>
      <c r="AG24" s="228"/>
      <c r="AH24" s="228"/>
      <c r="AI24" s="228"/>
      <c r="AJ24" s="228"/>
      <c r="AK24" s="228"/>
      <c r="AL24" s="228"/>
      <c r="AM24" s="228"/>
      <c r="AN24" s="229"/>
    </row>
    <row r="25" spans="1:40" ht="31.5" customHeight="1">
      <c r="A25" s="306"/>
      <c r="B25" s="307"/>
      <c r="C25" s="308"/>
      <c r="D25" s="309"/>
      <c r="E25" s="225"/>
      <c r="F25" s="313"/>
      <c r="G25" s="314"/>
      <c r="H25" s="225"/>
      <c r="I25" s="315"/>
      <c r="J25" s="314"/>
      <c r="K25" s="225"/>
      <c r="L25" s="310"/>
      <c r="M25" s="531"/>
      <c r="N25" s="532"/>
      <c r="O25" s="310"/>
      <c r="P25" s="307"/>
      <c r="Q25" s="308"/>
      <c r="R25" s="309"/>
      <c r="S25" s="225"/>
      <c r="T25" s="315"/>
      <c r="U25" s="314"/>
      <c r="V25" s="225"/>
      <c r="W25" s="315"/>
      <c r="X25" s="314"/>
      <c r="Y25" s="225"/>
      <c r="Z25" s="312"/>
      <c r="AB25" s="227"/>
      <c r="AC25" s="228"/>
      <c r="AD25" s="228"/>
      <c r="AE25" s="228"/>
      <c r="AF25" s="228"/>
      <c r="AG25" s="228"/>
      <c r="AH25" s="228"/>
      <c r="AI25" s="228"/>
      <c r="AJ25" s="228"/>
      <c r="AK25" s="228"/>
      <c r="AL25" s="228"/>
      <c r="AM25" s="228"/>
      <c r="AN25" s="229"/>
    </row>
    <row r="26" spans="1:40" ht="31.5" customHeight="1" thickBot="1">
      <c r="A26" s="19"/>
      <c r="B26" s="21" t="s">
        <v>122</v>
      </c>
      <c r="C26" s="20"/>
      <c r="D26" s="543"/>
      <c r="E26" s="544"/>
      <c r="F26" s="545"/>
      <c r="G26" s="543"/>
      <c r="H26" s="544"/>
      <c r="I26" s="545"/>
      <c r="J26" s="23"/>
      <c r="K26" s="215">
        <f>SUM(K3:K25)</f>
        <v>0</v>
      </c>
      <c r="L26" s="22"/>
      <c r="M26" s="525"/>
      <c r="N26" s="522"/>
      <c r="O26" s="22"/>
      <c r="P26" s="21" t="s">
        <v>125</v>
      </c>
      <c r="Q26" s="20"/>
      <c r="R26" s="543"/>
      <c r="S26" s="544"/>
      <c r="T26" s="545"/>
      <c r="U26" s="543"/>
      <c r="V26" s="544"/>
      <c r="W26" s="545"/>
      <c r="X26" s="23"/>
      <c r="Y26" s="22">
        <f>SUM(Y3:Y25)</f>
        <v>0</v>
      </c>
      <c r="Z26" s="24"/>
      <c r="AB26" s="227"/>
      <c r="AC26" s="228"/>
      <c r="AD26" s="228"/>
      <c r="AE26" s="228"/>
      <c r="AF26" s="228"/>
      <c r="AG26" s="228"/>
      <c r="AH26" s="228"/>
      <c r="AI26" s="228"/>
      <c r="AJ26" s="228"/>
      <c r="AK26" s="228"/>
      <c r="AL26" s="228"/>
      <c r="AM26" s="228"/>
      <c r="AN26" s="229"/>
    </row>
    <row r="27" spans="1:40" ht="31.5" customHeight="1" thickBot="1">
      <c r="N27" s="526"/>
      <c r="O27" s="527"/>
      <c r="P27" s="33" t="s">
        <v>123</v>
      </c>
      <c r="Q27" s="31"/>
      <c r="R27" s="546"/>
      <c r="S27" s="547"/>
      <c r="T27" s="548"/>
      <c r="U27" s="546"/>
      <c r="V27" s="547"/>
      <c r="W27" s="548"/>
      <c r="X27" s="32"/>
      <c r="Y27" s="2">
        <f>K26+Y26</f>
        <v>0</v>
      </c>
      <c r="Z27" s="18"/>
      <c r="AB27" s="227"/>
      <c r="AC27" s="228"/>
      <c r="AD27" s="228"/>
      <c r="AE27" s="228"/>
      <c r="AF27" s="228"/>
      <c r="AG27" s="228"/>
      <c r="AH27" s="228"/>
      <c r="AI27" s="228"/>
      <c r="AJ27" s="228"/>
      <c r="AK27" s="228"/>
      <c r="AL27" s="228"/>
      <c r="AM27" s="228"/>
      <c r="AN27" s="229"/>
    </row>
    <row r="28" spans="1:40" ht="21" customHeight="1" thickBot="1">
      <c r="AB28" s="227"/>
      <c r="AC28" s="228"/>
      <c r="AD28" s="228"/>
      <c r="AE28" s="228"/>
      <c r="AF28" s="228"/>
      <c r="AG28" s="228"/>
      <c r="AH28" s="228"/>
      <c r="AI28" s="228"/>
      <c r="AJ28" s="228"/>
      <c r="AK28" s="228"/>
      <c r="AL28" s="228"/>
      <c r="AM28" s="228"/>
      <c r="AN28" s="229"/>
    </row>
    <row r="29" spans="1:40" ht="64.5" customHeight="1">
      <c r="B29" s="44" t="s">
        <v>158</v>
      </c>
      <c r="E29" s="539" t="s">
        <v>180</v>
      </c>
      <c r="F29" s="540"/>
      <c r="G29" s="540"/>
      <c r="H29" s="540"/>
      <c r="I29" s="540"/>
      <c r="J29" s="540"/>
      <c r="K29" s="540"/>
      <c r="L29" s="540"/>
      <c r="M29" s="540"/>
      <c r="N29" s="540"/>
      <c r="O29" s="540"/>
      <c r="P29" s="540"/>
      <c r="Q29" s="540"/>
      <c r="R29" s="540"/>
      <c r="S29" s="540"/>
      <c r="T29" s="540"/>
      <c r="U29" s="540"/>
      <c r="V29" s="540"/>
      <c r="W29" s="529" t="s">
        <v>300</v>
      </c>
      <c r="X29" s="549"/>
      <c r="Y29" s="549"/>
      <c r="Z29" s="550"/>
      <c r="AB29" s="227"/>
      <c r="AC29" s="228"/>
      <c r="AD29" s="228"/>
      <c r="AE29" s="228"/>
      <c r="AF29" s="228"/>
      <c r="AG29" s="228"/>
      <c r="AH29" s="228"/>
      <c r="AI29" s="228"/>
      <c r="AJ29" s="228"/>
      <c r="AK29" s="228"/>
      <c r="AL29" s="228"/>
      <c r="AM29" s="228"/>
      <c r="AN29" s="229"/>
    </row>
    <row r="30" spans="1:40" ht="39" customHeight="1" thickBot="1">
      <c r="B30" s="40"/>
      <c r="E30" s="541"/>
      <c r="F30" s="542"/>
      <c r="G30" s="542"/>
      <c r="H30" s="542"/>
      <c r="I30" s="542"/>
      <c r="J30" s="542"/>
      <c r="K30" s="542"/>
      <c r="L30" s="542"/>
      <c r="M30" s="542"/>
      <c r="N30" s="542"/>
      <c r="O30" s="542"/>
      <c r="P30" s="542"/>
      <c r="Q30" s="542"/>
      <c r="R30" s="542"/>
      <c r="S30" s="542"/>
      <c r="T30" s="542"/>
      <c r="U30" s="542"/>
      <c r="V30" s="542"/>
      <c r="W30" s="536"/>
      <c r="X30" s="537"/>
      <c r="Y30" s="537"/>
      <c r="Z30" s="538"/>
      <c r="AB30" s="230"/>
      <c r="AC30" s="231"/>
      <c r="AD30" s="231"/>
      <c r="AE30" s="231"/>
      <c r="AF30" s="231"/>
      <c r="AG30" s="231"/>
      <c r="AH30" s="231"/>
      <c r="AI30" s="231"/>
      <c r="AJ30" s="231"/>
      <c r="AK30" s="231"/>
      <c r="AL30" s="231"/>
      <c r="AM30" s="231"/>
      <c r="AN30" s="232"/>
    </row>
    <row r="31" spans="1:40" ht="15.75" customHeight="1">
      <c r="B31" t="s">
        <v>159</v>
      </c>
    </row>
    <row r="32" spans="1:40" ht="15.75" customHeight="1">
      <c r="B32" t="s">
        <v>160</v>
      </c>
    </row>
  </sheetData>
  <sheetProtection selectLockedCells="1"/>
  <mergeCells count="55">
    <mergeCell ref="AI4:AM4"/>
    <mergeCell ref="M4:N4"/>
    <mergeCell ref="M5:N5"/>
    <mergeCell ref="M6:N6"/>
    <mergeCell ref="W29:Z29"/>
    <mergeCell ref="M12:N12"/>
    <mergeCell ref="M15:N15"/>
    <mergeCell ref="M16:N16"/>
    <mergeCell ref="M7:N7"/>
    <mergeCell ref="M8:N8"/>
    <mergeCell ref="M9:N9"/>
    <mergeCell ref="M10:N10"/>
    <mergeCell ref="M11:N11"/>
    <mergeCell ref="R26:T26"/>
    <mergeCell ref="M17:N17"/>
    <mergeCell ref="M25:N25"/>
    <mergeCell ref="W30:Z30"/>
    <mergeCell ref="E29:V30"/>
    <mergeCell ref="D26:F26"/>
    <mergeCell ref="M13:N13"/>
    <mergeCell ref="M18:N18"/>
    <mergeCell ref="M19:N19"/>
    <mergeCell ref="M20:N20"/>
    <mergeCell ref="M21:N21"/>
    <mergeCell ref="M22:N22"/>
    <mergeCell ref="M23:N23"/>
    <mergeCell ref="M24:N24"/>
    <mergeCell ref="G26:I26"/>
    <mergeCell ref="U27:W27"/>
    <mergeCell ref="R27:T27"/>
    <mergeCell ref="U26:W26"/>
    <mergeCell ref="M14:N14"/>
    <mergeCell ref="M26:N26"/>
    <mergeCell ref="N27:O27"/>
    <mergeCell ref="AB1:AF1"/>
    <mergeCell ref="B1:F1"/>
    <mergeCell ref="M2:N2"/>
    <mergeCell ref="M3:N3"/>
    <mergeCell ref="AC7:AF7"/>
    <mergeCell ref="AC4:AG4"/>
    <mergeCell ref="AG7:AH7"/>
    <mergeCell ref="AC10:AF10"/>
    <mergeCell ref="AG10:AH10"/>
    <mergeCell ref="AI7:AJ7"/>
    <mergeCell ref="AK7:AL7"/>
    <mergeCell ref="AK8:AL8"/>
    <mergeCell ref="AI8:AJ8"/>
    <mergeCell ref="AG8:AH8"/>
    <mergeCell ref="AI10:AJ10"/>
    <mergeCell ref="AK10:AL10"/>
    <mergeCell ref="AC8:AF8"/>
    <mergeCell ref="AC9:AF9"/>
    <mergeCell ref="AG9:AH9"/>
    <mergeCell ref="AI9:AJ9"/>
    <mergeCell ref="AK9:AL9"/>
  </mergeCells>
  <phoneticPr fontId="1"/>
  <pageMargins left="0.78740157480314965" right="0.31496062992125984" top="0.78740157480314965" bottom="0.35433070866141736" header="0.31496062992125984" footer="0.31496062992125984"/>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C3465-68B7-4921-9997-1DA96E230FB3}">
  <dimension ref="A1:AP60"/>
  <sheetViews>
    <sheetView workbookViewId="0">
      <selection activeCell="J11" sqref="J11:J12"/>
    </sheetView>
  </sheetViews>
  <sheetFormatPr defaultRowHeight="22.5" customHeight="1"/>
  <cols>
    <col min="1" max="1" width="0.875" customWidth="1"/>
    <col min="2" max="2" width="12.375" style="1" customWidth="1"/>
    <col min="3" max="4" width="0.875" customWidth="1"/>
    <col min="5" max="5" width="47.375" customWidth="1"/>
    <col min="6" max="6" width="0.875" customWidth="1"/>
    <col min="7" max="7" width="26.625" customWidth="1"/>
    <col min="8" max="9" width="0.875" customWidth="1"/>
    <col min="10" max="10" width="12.375" customWidth="1"/>
    <col min="11" max="12" width="0.875" customWidth="1"/>
    <col min="13" max="13" width="47.375" customWidth="1"/>
    <col min="14" max="14" width="0.875" customWidth="1"/>
    <col min="15" max="15" width="26.625" customWidth="1"/>
    <col min="16" max="16" width="0.875" customWidth="1"/>
    <col min="17" max="17" width="12.375" customWidth="1"/>
    <col min="18" max="19" width="0.875" customWidth="1"/>
    <col min="20" max="20" width="53.875" customWidth="1"/>
    <col min="21" max="21" width="0.875" customWidth="1"/>
    <col min="22" max="22" width="33.25" customWidth="1"/>
  </cols>
  <sheetData>
    <row r="1" spans="1:15" ht="33" customHeight="1" thickBot="1">
      <c r="A1" s="336" t="s">
        <v>266</v>
      </c>
      <c r="B1" s="336"/>
      <c r="C1" s="336"/>
      <c r="D1" s="336"/>
      <c r="E1" s="336"/>
      <c r="F1" s="135"/>
      <c r="G1" s="135"/>
    </row>
    <row r="2" spans="1:15" s="142" customFormat="1" ht="22.5" customHeight="1">
      <c r="A2" s="136"/>
      <c r="B2" s="137" t="s">
        <v>130</v>
      </c>
      <c r="C2" s="138"/>
      <c r="D2" s="139"/>
      <c r="E2" s="140" t="s">
        <v>131</v>
      </c>
      <c r="F2" s="139"/>
      <c r="G2" s="141" t="s">
        <v>190</v>
      </c>
      <c r="I2" s="136"/>
      <c r="J2" s="137" t="s">
        <v>130</v>
      </c>
      <c r="K2" s="138"/>
      <c r="L2" s="139"/>
      <c r="M2" s="140" t="s">
        <v>131</v>
      </c>
      <c r="N2" s="139"/>
      <c r="O2" s="141" t="s">
        <v>190</v>
      </c>
    </row>
    <row r="3" spans="1:15" s="142" customFormat="1" ht="22.5" customHeight="1">
      <c r="A3" s="143"/>
      <c r="B3" s="144" t="s">
        <v>236</v>
      </c>
      <c r="C3" s="145"/>
      <c r="D3" s="146"/>
      <c r="E3" s="147" t="s">
        <v>267</v>
      </c>
      <c r="F3" s="146"/>
      <c r="G3" s="148" t="s">
        <v>268</v>
      </c>
      <c r="I3" s="149"/>
      <c r="J3" s="337" t="s">
        <v>13</v>
      </c>
      <c r="K3" s="150"/>
      <c r="L3" s="151"/>
      <c r="M3" s="340" t="s">
        <v>269</v>
      </c>
      <c r="N3" s="151"/>
      <c r="O3" s="343" t="s">
        <v>270</v>
      </c>
    </row>
    <row r="4" spans="1:15" s="142" customFormat="1" ht="22.5" customHeight="1">
      <c r="A4" s="152"/>
      <c r="B4" s="153" t="s">
        <v>271</v>
      </c>
      <c r="C4" s="154"/>
      <c r="D4" s="155"/>
      <c r="E4" s="156" t="s">
        <v>272</v>
      </c>
      <c r="F4" s="155"/>
      <c r="G4" s="157"/>
      <c r="I4" s="143"/>
      <c r="J4" s="338"/>
      <c r="K4" s="145"/>
      <c r="L4" s="146"/>
      <c r="M4" s="341"/>
      <c r="N4" s="146"/>
      <c r="O4" s="344"/>
    </row>
    <row r="5" spans="1:15" s="142" customFormat="1" ht="22.5" customHeight="1">
      <c r="A5" s="158"/>
      <c r="B5" s="159" t="s">
        <v>48</v>
      </c>
      <c r="C5" s="160"/>
      <c r="D5" s="161"/>
      <c r="E5" s="162" t="s">
        <v>273</v>
      </c>
      <c r="F5" s="161"/>
      <c r="G5" s="163"/>
      <c r="I5" s="143"/>
      <c r="J5" s="338"/>
      <c r="K5" s="145"/>
      <c r="L5" s="146"/>
      <c r="M5" s="341"/>
      <c r="N5" s="146"/>
      <c r="O5" s="344"/>
    </row>
    <row r="6" spans="1:15" s="142" customFormat="1" ht="22.5" customHeight="1">
      <c r="A6" s="143"/>
      <c r="B6" s="144" t="s">
        <v>96</v>
      </c>
      <c r="C6" s="145"/>
      <c r="D6" s="146"/>
      <c r="E6" s="147" t="s">
        <v>307</v>
      </c>
      <c r="F6" s="146"/>
      <c r="G6" s="164"/>
      <c r="I6" s="152"/>
      <c r="J6" s="339"/>
      <c r="K6" s="154"/>
      <c r="L6" s="155"/>
      <c r="M6" s="342"/>
      <c r="N6" s="155"/>
      <c r="O6" s="345"/>
    </row>
    <row r="7" spans="1:15" s="142" customFormat="1" ht="22.5" customHeight="1">
      <c r="A7" s="149"/>
      <c r="B7" s="337" t="s">
        <v>5</v>
      </c>
      <c r="C7" s="150"/>
      <c r="D7" s="151"/>
      <c r="E7" s="340" t="s">
        <v>324</v>
      </c>
      <c r="F7" s="151"/>
      <c r="G7" s="343" t="s">
        <v>274</v>
      </c>
      <c r="I7" s="149"/>
      <c r="J7" s="337" t="s">
        <v>14</v>
      </c>
      <c r="K7" s="150"/>
      <c r="L7" s="151"/>
      <c r="M7" s="340" t="s">
        <v>275</v>
      </c>
      <c r="N7" s="151"/>
      <c r="O7" s="165" t="s">
        <v>23</v>
      </c>
    </row>
    <row r="8" spans="1:15" s="142" customFormat="1" ht="22.5" customHeight="1">
      <c r="A8" s="143"/>
      <c r="B8" s="338"/>
      <c r="C8" s="145"/>
      <c r="D8" s="146"/>
      <c r="E8" s="341"/>
      <c r="F8" s="146"/>
      <c r="G8" s="344"/>
      <c r="I8" s="152"/>
      <c r="J8" s="339"/>
      <c r="K8" s="154"/>
      <c r="L8" s="155"/>
      <c r="M8" s="342"/>
      <c r="N8" s="155"/>
      <c r="O8" s="166"/>
    </row>
    <row r="9" spans="1:15" s="142" customFormat="1" ht="22.5" customHeight="1">
      <c r="A9" s="143"/>
      <c r="B9" s="338"/>
      <c r="C9" s="145"/>
      <c r="D9" s="146"/>
      <c r="E9" s="341"/>
      <c r="F9" s="146"/>
      <c r="G9" s="344"/>
      <c r="I9" s="149"/>
      <c r="J9" s="337" t="s">
        <v>15</v>
      </c>
      <c r="K9" s="150"/>
      <c r="L9" s="151"/>
      <c r="M9" s="150" t="s">
        <v>276</v>
      </c>
      <c r="N9" s="151"/>
      <c r="O9" s="334" t="s">
        <v>323</v>
      </c>
    </row>
    <row r="10" spans="1:15" s="142" customFormat="1" ht="22.5" customHeight="1">
      <c r="A10" s="143"/>
      <c r="B10" s="338"/>
      <c r="C10" s="145"/>
      <c r="D10" s="146"/>
      <c r="E10" s="341"/>
      <c r="F10" s="146"/>
      <c r="G10" s="344"/>
      <c r="I10" s="152"/>
      <c r="J10" s="346"/>
      <c r="K10" s="154"/>
      <c r="L10" s="155"/>
      <c r="M10" s="154" t="s">
        <v>277</v>
      </c>
      <c r="N10" s="155"/>
      <c r="O10" s="335"/>
    </row>
    <row r="11" spans="1:15" s="142" customFormat="1" ht="22.5" customHeight="1">
      <c r="A11" s="152"/>
      <c r="B11" s="339"/>
      <c r="C11" s="154"/>
      <c r="D11" s="155"/>
      <c r="E11" s="342"/>
      <c r="F11" s="155"/>
      <c r="G11" s="345"/>
      <c r="I11" s="149"/>
      <c r="J11" s="337" t="s">
        <v>16</v>
      </c>
      <c r="K11" s="150"/>
      <c r="L11" s="151"/>
      <c r="M11" s="340" t="s">
        <v>309</v>
      </c>
      <c r="N11" s="151"/>
      <c r="O11" s="165"/>
    </row>
    <row r="12" spans="1:15" s="142" customFormat="1" ht="22.5" customHeight="1">
      <c r="A12" s="149"/>
      <c r="B12" s="337" t="s">
        <v>101</v>
      </c>
      <c r="C12" s="150"/>
      <c r="D12" s="151"/>
      <c r="E12" s="340" t="s">
        <v>302</v>
      </c>
      <c r="F12" s="151"/>
      <c r="G12" s="165" t="s">
        <v>325</v>
      </c>
      <c r="I12" s="152"/>
      <c r="J12" s="346"/>
      <c r="K12" s="154"/>
      <c r="L12" s="155"/>
      <c r="M12" s="342"/>
      <c r="N12" s="155"/>
      <c r="O12" s="166"/>
    </row>
    <row r="13" spans="1:15" s="142" customFormat="1" ht="22.5" customHeight="1">
      <c r="A13" s="152"/>
      <c r="B13" s="339"/>
      <c r="C13" s="154"/>
      <c r="D13" s="155"/>
      <c r="E13" s="342"/>
      <c r="F13" s="155"/>
      <c r="G13" s="166"/>
      <c r="I13" s="149"/>
      <c r="J13" s="337" t="s">
        <v>17</v>
      </c>
      <c r="K13" s="150"/>
      <c r="L13" s="151"/>
      <c r="M13" s="340" t="s">
        <v>310</v>
      </c>
      <c r="N13" s="151"/>
      <c r="O13" s="165" t="s">
        <v>326</v>
      </c>
    </row>
    <row r="14" spans="1:15" s="142" customFormat="1" ht="22.5" customHeight="1">
      <c r="A14" s="149"/>
      <c r="B14" s="337" t="s">
        <v>6</v>
      </c>
      <c r="C14" s="150"/>
      <c r="D14" s="151"/>
      <c r="E14" s="340" t="s">
        <v>296</v>
      </c>
      <c r="F14" s="151"/>
      <c r="G14" s="165"/>
      <c r="I14" s="152"/>
      <c r="J14" s="339"/>
      <c r="K14" s="154"/>
      <c r="L14" s="155"/>
      <c r="M14" s="342"/>
      <c r="N14" s="155"/>
      <c r="O14" s="167" t="s">
        <v>232</v>
      </c>
    </row>
    <row r="15" spans="1:15" s="142" customFormat="1" ht="22.5" customHeight="1">
      <c r="A15" s="152"/>
      <c r="B15" s="339"/>
      <c r="C15" s="154"/>
      <c r="D15" s="155"/>
      <c r="E15" s="342"/>
      <c r="F15" s="155"/>
      <c r="G15" s="166"/>
      <c r="I15" s="143"/>
      <c r="J15" s="337" t="s">
        <v>140</v>
      </c>
      <c r="K15" s="145"/>
      <c r="L15" s="146"/>
      <c r="M15" s="340" t="s">
        <v>142</v>
      </c>
      <c r="N15" s="146"/>
      <c r="O15" s="343" t="s">
        <v>278</v>
      </c>
    </row>
    <row r="16" spans="1:15" s="142" customFormat="1" ht="22.5" customHeight="1">
      <c r="A16" s="149"/>
      <c r="B16" s="337" t="s">
        <v>7</v>
      </c>
      <c r="C16" s="150"/>
      <c r="D16" s="151"/>
      <c r="E16" s="340" t="s">
        <v>141</v>
      </c>
      <c r="F16" s="151"/>
      <c r="G16" s="165" t="s">
        <v>325</v>
      </c>
      <c r="I16" s="143"/>
      <c r="J16" s="338"/>
      <c r="K16" s="145"/>
      <c r="L16" s="146"/>
      <c r="M16" s="341"/>
      <c r="N16" s="146"/>
      <c r="O16" s="344"/>
    </row>
    <row r="17" spans="1:15" s="142" customFormat="1" ht="22.5" customHeight="1">
      <c r="A17" s="152"/>
      <c r="B17" s="339"/>
      <c r="C17" s="154"/>
      <c r="D17" s="155"/>
      <c r="E17" s="342"/>
      <c r="F17" s="155"/>
      <c r="G17" s="166"/>
      <c r="I17" s="143"/>
      <c r="J17" s="339"/>
      <c r="K17" s="145"/>
      <c r="L17" s="146"/>
      <c r="M17" s="342"/>
      <c r="N17" s="146"/>
      <c r="O17" s="345"/>
    </row>
    <row r="18" spans="1:15" s="142" customFormat="1" ht="22.5" customHeight="1">
      <c r="A18" s="149"/>
      <c r="B18" s="337" t="s">
        <v>8</v>
      </c>
      <c r="C18" s="150"/>
      <c r="D18" s="151"/>
      <c r="E18" s="340" t="s">
        <v>279</v>
      </c>
      <c r="F18" s="151"/>
      <c r="G18" s="165"/>
      <c r="I18" s="149"/>
      <c r="J18" s="337" t="s">
        <v>18</v>
      </c>
      <c r="K18" s="150"/>
      <c r="L18" s="151"/>
      <c r="M18" s="340" t="s">
        <v>178</v>
      </c>
      <c r="N18" s="151"/>
      <c r="O18" s="165"/>
    </row>
    <row r="19" spans="1:15" s="142" customFormat="1" ht="22.5" customHeight="1">
      <c r="A19" s="152"/>
      <c r="B19" s="339"/>
      <c r="C19" s="154"/>
      <c r="D19" s="155"/>
      <c r="E19" s="342"/>
      <c r="F19" s="155"/>
      <c r="G19" s="166"/>
      <c r="I19" s="143"/>
      <c r="J19" s="338"/>
      <c r="K19" s="145"/>
      <c r="L19" s="146"/>
      <c r="M19" s="341"/>
      <c r="N19" s="146"/>
      <c r="O19" s="168"/>
    </row>
    <row r="20" spans="1:15" s="142" customFormat="1" ht="22.5" customHeight="1">
      <c r="A20" s="149"/>
      <c r="B20" s="337" t="s">
        <v>9</v>
      </c>
      <c r="C20" s="150"/>
      <c r="D20" s="151"/>
      <c r="E20" s="340" t="s">
        <v>322</v>
      </c>
      <c r="F20" s="151"/>
      <c r="G20" s="343" t="s">
        <v>303</v>
      </c>
      <c r="I20" s="152"/>
      <c r="J20" s="339"/>
      <c r="K20" s="154"/>
      <c r="L20" s="155"/>
      <c r="M20" s="154" t="s">
        <v>179</v>
      </c>
      <c r="N20" s="155"/>
      <c r="O20" s="166"/>
    </row>
    <row r="21" spans="1:15" s="142" customFormat="1" ht="22.5" customHeight="1">
      <c r="A21" s="143"/>
      <c r="B21" s="338"/>
      <c r="C21" s="145"/>
      <c r="D21" s="146"/>
      <c r="E21" s="341"/>
      <c r="F21" s="146"/>
      <c r="G21" s="344"/>
      <c r="I21" s="149"/>
      <c r="J21" s="337" t="s">
        <v>19</v>
      </c>
      <c r="K21" s="150"/>
      <c r="L21" s="151"/>
      <c r="M21" s="347" t="s">
        <v>280</v>
      </c>
      <c r="N21" s="151"/>
      <c r="O21" s="165" t="s">
        <v>21</v>
      </c>
    </row>
    <row r="22" spans="1:15" s="142" customFormat="1" ht="22.5" customHeight="1">
      <c r="A22" s="143"/>
      <c r="B22" s="338"/>
      <c r="C22" s="145"/>
      <c r="D22" s="146"/>
      <c r="E22" s="341"/>
      <c r="F22" s="146"/>
      <c r="G22" s="344"/>
      <c r="I22" s="152"/>
      <c r="J22" s="339"/>
      <c r="K22" s="154"/>
      <c r="L22" s="155"/>
      <c r="M22" s="348"/>
      <c r="N22" s="155"/>
      <c r="O22" s="167" t="s">
        <v>232</v>
      </c>
    </row>
    <row r="23" spans="1:15" s="142" customFormat="1" ht="22.5" customHeight="1">
      <c r="A23" s="143"/>
      <c r="B23" s="338"/>
      <c r="C23" s="145"/>
      <c r="D23" s="146"/>
      <c r="E23" s="341"/>
      <c r="F23" s="146"/>
      <c r="G23" s="344"/>
      <c r="I23" s="149"/>
      <c r="J23" s="337" t="s">
        <v>20</v>
      </c>
      <c r="K23" s="150"/>
      <c r="L23" s="151"/>
      <c r="M23" s="340" t="s">
        <v>281</v>
      </c>
      <c r="N23" s="151"/>
      <c r="O23" s="343" t="s">
        <v>191</v>
      </c>
    </row>
    <row r="24" spans="1:15" s="142" customFormat="1" ht="22.5" customHeight="1">
      <c r="A24" s="152"/>
      <c r="B24" s="339"/>
      <c r="C24" s="154"/>
      <c r="D24" s="155"/>
      <c r="E24" s="342"/>
      <c r="F24" s="155"/>
      <c r="G24" s="166" t="s">
        <v>325</v>
      </c>
      <c r="I24" s="143"/>
      <c r="J24" s="338"/>
      <c r="K24" s="145"/>
      <c r="L24" s="146"/>
      <c r="M24" s="341"/>
      <c r="N24" s="146"/>
      <c r="O24" s="344"/>
    </row>
    <row r="25" spans="1:15" s="142" customFormat="1" ht="22.5" customHeight="1">
      <c r="A25" s="149"/>
      <c r="B25" s="337" t="s">
        <v>10</v>
      </c>
      <c r="C25" s="150"/>
      <c r="D25" s="151"/>
      <c r="E25" s="340" t="s">
        <v>304</v>
      </c>
      <c r="F25" s="151"/>
      <c r="G25" s="343" t="s">
        <v>305</v>
      </c>
      <c r="I25" s="143"/>
      <c r="J25" s="338"/>
      <c r="K25" s="145"/>
      <c r="L25" s="146"/>
      <c r="M25" s="342"/>
      <c r="N25" s="146"/>
      <c r="O25" s="168"/>
    </row>
    <row r="26" spans="1:15" s="142" customFormat="1" ht="22.5" customHeight="1">
      <c r="A26" s="143"/>
      <c r="B26" s="338"/>
      <c r="C26" s="145"/>
      <c r="D26" s="146"/>
      <c r="E26" s="341"/>
      <c r="F26" s="146"/>
      <c r="G26" s="344"/>
      <c r="I26" s="149"/>
      <c r="J26" s="337" t="s">
        <v>139</v>
      </c>
      <c r="K26" s="169"/>
      <c r="L26" s="151"/>
      <c r="M26" s="340" t="s">
        <v>282</v>
      </c>
      <c r="N26" s="151"/>
      <c r="O26" s="165"/>
    </row>
    <row r="27" spans="1:15" s="142" customFormat="1" ht="22.5" customHeight="1">
      <c r="A27" s="152"/>
      <c r="B27" s="339"/>
      <c r="C27" s="154"/>
      <c r="D27" s="155"/>
      <c r="E27" s="342"/>
      <c r="F27" s="155"/>
      <c r="G27" s="345"/>
      <c r="I27" s="143"/>
      <c r="J27" s="338"/>
      <c r="L27" s="146"/>
      <c r="M27" s="341"/>
      <c r="N27" s="146"/>
      <c r="O27" s="168"/>
    </row>
    <row r="28" spans="1:15" s="142" customFormat="1" ht="22.5" customHeight="1">
      <c r="A28" s="149"/>
      <c r="B28" s="337" t="s">
        <v>11</v>
      </c>
      <c r="C28" s="150"/>
      <c r="D28" s="151"/>
      <c r="E28" s="340" t="s">
        <v>283</v>
      </c>
      <c r="F28" s="151"/>
      <c r="G28" s="343" t="s">
        <v>306</v>
      </c>
      <c r="I28" s="143"/>
      <c r="J28" s="338"/>
      <c r="L28" s="146"/>
      <c r="M28" s="341"/>
      <c r="N28" s="146"/>
      <c r="O28" s="168"/>
    </row>
    <row r="29" spans="1:15" s="142" customFormat="1" ht="22.5" customHeight="1">
      <c r="A29" s="143"/>
      <c r="B29" s="338"/>
      <c r="C29" s="145"/>
      <c r="D29" s="146"/>
      <c r="E29" s="341"/>
      <c r="F29" s="146"/>
      <c r="G29" s="344"/>
      <c r="I29" s="143"/>
      <c r="J29" s="338"/>
      <c r="L29" s="146"/>
      <c r="M29" s="341" t="s">
        <v>284</v>
      </c>
      <c r="N29" s="146"/>
      <c r="O29" s="168"/>
    </row>
    <row r="30" spans="1:15" s="142" customFormat="1" ht="22.5" customHeight="1" thickBot="1">
      <c r="A30" s="143"/>
      <c r="B30" s="339"/>
      <c r="C30" s="145"/>
      <c r="D30" s="146"/>
      <c r="E30" s="342"/>
      <c r="F30" s="146"/>
      <c r="G30" s="345"/>
      <c r="I30" s="170"/>
      <c r="J30" s="350"/>
      <c r="K30" s="171"/>
      <c r="L30" s="172"/>
      <c r="M30" s="349"/>
      <c r="N30" s="172"/>
      <c r="O30" s="173"/>
    </row>
    <row r="31" spans="1:15" s="142" customFormat="1" ht="22.5" customHeight="1">
      <c r="A31" s="149"/>
      <c r="B31" s="337" t="s">
        <v>12</v>
      </c>
      <c r="C31" s="150"/>
      <c r="D31" s="151"/>
      <c r="E31" s="340" t="s">
        <v>308</v>
      </c>
      <c r="F31" s="151"/>
      <c r="G31" s="343" t="s">
        <v>297</v>
      </c>
      <c r="J31" s="183" t="s">
        <v>285</v>
      </c>
    </row>
    <row r="32" spans="1:15" s="142" customFormat="1" ht="22.5" customHeight="1">
      <c r="A32" s="143"/>
      <c r="B32" s="338"/>
      <c r="C32" s="145"/>
      <c r="D32" s="146"/>
      <c r="E32" s="341"/>
      <c r="F32" s="146"/>
      <c r="G32" s="344"/>
      <c r="I32" s="352" t="s">
        <v>343</v>
      </c>
      <c r="J32" s="352"/>
      <c r="K32" s="352"/>
      <c r="L32" s="352"/>
      <c r="M32" s="352"/>
      <c r="N32" s="352"/>
      <c r="O32" s="352"/>
    </row>
    <row r="33" spans="1:42" s="142" customFormat="1" ht="22.5" customHeight="1">
      <c r="A33" s="143"/>
      <c r="B33" s="338"/>
      <c r="C33" s="145"/>
      <c r="D33" s="146"/>
      <c r="E33" s="341"/>
      <c r="F33" s="146"/>
      <c r="G33" s="344"/>
      <c r="I33" s="352"/>
      <c r="J33" s="352"/>
      <c r="K33" s="352"/>
      <c r="L33" s="352"/>
      <c r="M33" s="352"/>
      <c r="N33" s="352"/>
      <c r="O33" s="352"/>
    </row>
    <row r="34" spans="1:42" s="142" customFormat="1" ht="22.5" customHeight="1">
      <c r="A34" s="143"/>
      <c r="B34" s="338"/>
      <c r="C34" s="145"/>
      <c r="D34" s="146"/>
      <c r="E34" s="341"/>
      <c r="F34" s="146"/>
      <c r="G34" s="344"/>
      <c r="I34" s="352"/>
      <c r="J34" s="352"/>
      <c r="K34" s="352"/>
      <c r="L34" s="352"/>
      <c r="M34" s="352"/>
      <c r="N34" s="352"/>
      <c r="O34" s="352"/>
    </row>
    <row r="35" spans="1:42" s="142" customFormat="1" ht="22.5" customHeight="1" thickBot="1">
      <c r="A35" s="170"/>
      <c r="B35" s="350"/>
      <c r="C35" s="174"/>
      <c r="D35" s="172"/>
      <c r="E35" s="174" t="s">
        <v>286</v>
      </c>
      <c r="F35" s="172"/>
      <c r="G35" s="351"/>
      <c r="I35" s="352"/>
      <c r="J35" s="352"/>
      <c r="K35" s="352"/>
      <c r="L35" s="352"/>
      <c r="M35" s="352"/>
      <c r="N35" s="352"/>
      <c r="O35" s="352"/>
    </row>
    <row r="36" spans="1:42" ht="22.5" customHeight="1">
      <c r="B36" s="353"/>
      <c r="C36" s="175"/>
      <c r="D36" s="175"/>
      <c r="E36" s="175"/>
      <c r="F36" s="175"/>
      <c r="G36" s="175"/>
      <c r="I36" s="142"/>
      <c r="J36" s="142"/>
      <c r="K36" s="142"/>
      <c r="L36" s="142"/>
      <c r="M36" s="142"/>
      <c r="N36" s="142"/>
      <c r="O36" s="142"/>
    </row>
    <row r="37" spans="1:42" ht="22.5" customHeight="1">
      <c r="B37" s="353"/>
      <c r="C37" s="175"/>
      <c r="D37" s="175"/>
      <c r="E37" s="175"/>
      <c r="F37" s="175"/>
      <c r="G37" s="175"/>
      <c r="I37" s="142"/>
      <c r="J37" s="50"/>
      <c r="K37" s="50"/>
      <c r="L37" s="50"/>
      <c r="M37" s="51"/>
      <c r="N37" s="50"/>
      <c r="O37" s="50"/>
      <c r="P37" s="50"/>
      <c r="Q37" s="50"/>
      <c r="R37" s="51"/>
      <c r="S37" s="50"/>
      <c r="T37" s="51"/>
      <c r="U37" s="50"/>
      <c r="V37" s="51"/>
      <c r="W37" s="50"/>
      <c r="X37" s="51"/>
      <c r="Y37" s="50"/>
      <c r="Z37" s="51"/>
      <c r="AA37" s="50"/>
      <c r="AB37" s="51"/>
      <c r="AC37" s="50"/>
      <c r="AD37" s="51"/>
      <c r="AE37" s="50"/>
      <c r="AF37" s="51"/>
      <c r="AG37" s="50"/>
      <c r="AH37" s="51"/>
      <c r="AI37" s="50"/>
      <c r="AJ37" s="51"/>
      <c r="AK37" s="50"/>
      <c r="AL37" s="51"/>
      <c r="AM37" s="50"/>
      <c r="AN37" s="51"/>
      <c r="AP37" s="51"/>
    </row>
    <row r="38" spans="1:42" ht="22.5" customHeight="1">
      <c r="B38" s="353"/>
      <c r="C38" s="175"/>
      <c r="D38" s="175"/>
      <c r="E38" s="176"/>
      <c r="F38" s="175"/>
      <c r="G38" s="175"/>
    </row>
    <row r="39" spans="1:42" ht="22.5" customHeight="1">
      <c r="B39" s="353"/>
      <c r="C39" s="175"/>
      <c r="D39" s="175"/>
      <c r="E39" s="176"/>
      <c r="F39" s="175"/>
      <c r="G39" s="175"/>
    </row>
    <row r="40" spans="1:42" ht="22.5" customHeight="1">
      <c r="B40" s="353"/>
      <c r="C40" s="175"/>
      <c r="D40" s="175"/>
      <c r="E40" s="175"/>
      <c r="F40" s="175"/>
      <c r="G40" s="175"/>
    </row>
    <row r="41" spans="1:42" ht="22.5" customHeight="1">
      <c r="B41" s="353"/>
      <c r="C41" s="175"/>
      <c r="D41" s="175"/>
      <c r="E41" s="175"/>
      <c r="F41" s="175"/>
      <c r="G41" s="175"/>
    </row>
    <row r="42" spans="1:42" ht="22.5" customHeight="1">
      <c r="B42" s="177"/>
      <c r="C42" s="175"/>
      <c r="D42" s="175"/>
      <c r="E42" s="175"/>
      <c r="F42" s="175"/>
      <c r="G42" s="175"/>
    </row>
    <row r="43" spans="1:42" ht="22.5" customHeight="1">
      <c r="B43" s="177"/>
      <c r="C43" s="175"/>
      <c r="D43" s="175"/>
      <c r="E43" s="175"/>
      <c r="F43" s="175"/>
      <c r="G43" s="175"/>
    </row>
    <row r="44" spans="1:42" ht="22.5" customHeight="1">
      <c r="B44" s="353"/>
      <c r="C44" s="175"/>
      <c r="D44" s="175"/>
      <c r="E44" s="175"/>
      <c r="F44" s="175"/>
      <c r="G44" s="175"/>
    </row>
    <row r="45" spans="1:42" ht="22.5" customHeight="1">
      <c r="B45" s="353"/>
      <c r="C45" s="175"/>
      <c r="D45" s="175"/>
      <c r="E45" s="175"/>
      <c r="F45" s="175"/>
      <c r="G45" s="175"/>
    </row>
    <row r="46" spans="1:42" ht="22.5" customHeight="1">
      <c r="B46" s="353"/>
      <c r="C46" s="175"/>
      <c r="D46" s="175"/>
      <c r="E46" s="178"/>
      <c r="F46" s="175"/>
      <c r="G46" s="175"/>
    </row>
    <row r="47" spans="1:42" ht="22.5" customHeight="1">
      <c r="B47" s="353"/>
      <c r="C47" s="175"/>
      <c r="D47" s="175"/>
      <c r="E47" s="178"/>
      <c r="F47" s="175"/>
      <c r="G47" s="175"/>
    </row>
    <row r="48" spans="1:42" ht="22.5" customHeight="1">
      <c r="B48" s="353"/>
      <c r="C48" s="175"/>
      <c r="D48" s="175"/>
      <c r="E48" s="178"/>
      <c r="F48" s="175"/>
      <c r="G48" s="175"/>
    </row>
    <row r="49" spans="1:15" ht="22.5" customHeight="1">
      <c r="B49" s="353"/>
      <c r="C49" s="175"/>
      <c r="D49" s="175"/>
      <c r="E49" s="175"/>
      <c r="F49" s="175"/>
      <c r="G49" s="175"/>
    </row>
    <row r="50" spans="1:15" ht="22.5" customHeight="1">
      <c r="B50" s="353"/>
      <c r="C50" s="175"/>
      <c r="D50" s="175"/>
      <c r="E50" s="175"/>
      <c r="F50" s="175"/>
      <c r="G50" s="175"/>
    </row>
    <row r="51" spans="1:15" ht="22.5" customHeight="1">
      <c r="B51" s="353"/>
      <c r="C51" s="175"/>
      <c r="D51" s="175"/>
      <c r="E51" s="175"/>
      <c r="F51" s="175"/>
      <c r="G51" s="175"/>
    </row>
    <row r="52" spans="1:15" ht="22.5" customHeight="1">
      <c r="B52" s="353"/>
      <c r="C52" s="175"/>
      <c r="D52" s="175"/>
      <c r="E52" s="175"/>
      <c r="F52" s="175"/>
      <c r="G52" s="175"/>
    </row>
    <row r="53" spans="1:15" ht="22.5" customHeight="1">
      <c r="B53" s="353"/>
      <c r="C53" s="175"/>
      <c r="D53" s="175"/>
      <c r="E53" s="175"/>
      <c r="F53" s="175"/>
      <c r="G53" s="175"/>
    </row>
    <row r="54" spans="1:15" s="175" customFormat="1" ht="22.5" customHeight="1">
      <c r="A54"/>
      <c r="B54" s="353"/>
      <c r="I54"/>
      <c r="J54"/>
      <c r="K54"/>
      <c r="L54"/>
      <c r="M54"/>
      <c r="N54"/>
      <c r="O54"/>
    </row>
    <row r="55" spans="1:15" s="175" customFormat="1" ht="22.5" customHeight="1">
      <c r="A55"/>
      <c r="B55" s="353"/>
      <c r="I55"/>
      <c r="J55"/>
      <c r="K55"/>
      <c r="L55"/>
      <c r="M55"/>
      <c r="N55"/>
      <c r="O55"/>
    </row>
    <row r="56" spans="1:15" s="175" customFormat="1" ht="22.5" customHeight="1">
      <c r="A56" s="179"/>
      <c r="B56" s="354"/>
      <c r="E56" s="178"/>
    </row>
    <row r="57" spans="1:15" s="175" customFormat="1" ht="22.5" customHeight="1">
      <c r="B57" s="353"/>
      <c r="E57" s="178"/>
    </row>
    <row r="58" spans="1:15" s="175" customFormat="1" ht="22.5" customHeight="1">
      <c r="B58" s="353"/>
      <c r="E58" s="178"/>
    </row>
    <row r="59" spans="1:15" ht="22.5" customHeight="1">
      <c r="A59" s="175"/>
      <c r="B59" s="353"/>
      <c r="C59" s="175"/>
      <c r="D59" s="175"/>
      <c r="E59" s="175"/>
      <c r="F59" s="175"/>
      <c r="G59" s="175"/>
      <c r="I59" s="175"/>
      <c r="J59" s="175"/>
      <c r="K59" s="175"/>
      <c r="L59" s="175"/>
      <c r="M59" s="175"/>
      <c r="N59" s="175"/>
      <c r="O59" s="175"/>
    </row>
    <row r="60" spans="1:15" ht="22.5" customHeight="1">
      <c r="A60" s="175"/>
      <c r="B60" s="353"/>
      <c r="C60" s="175"/>
      <c r="D60" s="175"/>
      <c r="E60" s="175"/>
      <c r="F60" s="175"/>
      <c r="G60" s="175"/>
      <c r="I60" s="175"/>
      <c r="J60" s="175"/>
      <c r="K60" s="175"/>
      <c r="L60" s="175"/>
      <c r="M60" s="175"/>
      <c r="N60" s="175"/>
      <c r="O60" s="175"/>
    </row>
  </sheetData>
  <sheetProtection sheet="1" objects="1" scenarios="1"/>
  <mergeCells count="57">
    <mergeCell ref="B56:B60"/>
    <mergeCell ref="B36:B39"/>
    <mergeCell ref="B40:B41"/>
    <mergeCell ref="B44:B45"/>
    <mergeCell ref="B46:B48"/>
    <mergeCell ref="B49:B50"/>
    <mergeCell ref="B51:B52"/>
    <mergeCell ref="B31:B35"/>
    <mergeCell ref="E31:E34"/>
    <mergeCell ref="G31:G35"/>
    <mergeCell ref="I32:O35"/>
    <mergeCell ref="B53:B55"/>
    <mergeCell ref="B28:B30"/>
    <mergeCell ref="E28:E30"/>
    <mergeCell ref="G28:G30"/>
    <mergeCell ref="M29:M30"/>
    <mergeCell ref="B25:B27"/>
    <mergeCell ref="E25:E27"/>
    <mergeCell ref="G25:G27"/>
    <mergeCell ref="J26:J30"/>
    <mergeCell ref="M26:M28"/>
    <mergeCell ref="J23:J25"/>
    <mergeCell ref="M23:M25"/>
    <mergeCell ref="O15:O17"/>
    <mergeCell ref="B16:B17"/>
    <mergeCell ref="E16:E17"/>
    <mergeCell ref="B18:B19"/>
    <mergeCell ref="E18:E19"/>
    <mergeCell ref="J18:J20"/>
    <mergeCell ref="M18:M19"/>
    <mergeCell ref="B20:B24"/>
    <mergeCell ref="E20:E24"/>
    <mergeCell ref="G20:G23"/>
    <mergeCell ref="J21:J22"/>
    <mergeCell ref="M21:M22"/>
    <mergeCell ref="O23:O24"/>
    <mergeCell ref="M13:M14"/>
    <mergeCell ref="B14:B15"/>
    <mergeCell ref="E14:E15"/>
    <mergeCell ref="J15:J17"/>
    <mergeCell ref="M15:M17"/>
    <mergeCell ref="O9:O10"/>
    <mergeCell ref="A1:E1"/>
    <mergeCell ref="J3:J6"/>
    <mergeCell ref="M3:M6"/>
    <mergeCell ref="O3:O6"/>
    <mergeCell ref="B7:B11"/>
    <mergeCell ref="E7:E11"/>
    <mergeCell ref="G7:G11"/>
    <mergeCell ref="J7:J8"/>
    <mergeCell ref="M7:M8"/>
    <mergeCell ref="J9:J10"/>
    <mergeCell ref="J11:J12"/>
    <mergeCell ref="M11:M12"/>
    <mergeCell ref="B12:B13"/>
    <mergeCell ref="E12:E13"/>
    <mergeCell ref="J13:J14"/>
  </mergeCells>
  <phoneticPr fontId="1"/>
  <pageMargins left="0.78740157480314965" right="0.31496062992125984" top="0.55118110236220474" bottom="0.15748031496062992"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8AC18-73C8-4748-A84F-9498BC593D54}">
  <sheetPr>
    <pageSetUpPr fitToPage="1"/>
  </sheetPr>
  <dimension ref="A1:AW43"/>
  <sheetViews>
    <sheetView zoomScale="70" zoomScaleNormal="70" workbookViewId="0">
      <pane xSplit="1" ySplit="9" topLeftCell="J10" activePane="bottomRight" state="frozen"/>
      <selection activeCell="M1" sqref="M1:N1048576"/>
      <selection pane="topRight" activeCell="M1" sqref="M1:N1048576"/>
      <selection pane="bottomLeft" activeCell="M1" sqref="M1:N1048576"/>
      <selection pane="bottomRight" activeCell="AC17" sqref="AC17"/>
    </sheetView>
  </sheetViews>
  <sheetFormatPr defaultRowHeight="33.75" customHeight="1"/>
  <cols>
    <col min="1" max="1" width="3.5" customWidth="1"/>
    <col min="2" max="2" width="34.875" customWidth="1"/>
    <col min="3" max="3" width="0.375" customWidth="1"/>
    <col min="4" max="4" width="6.75" customWidth="1"/>
    <col min="5" max="5" width="5.625" style="17" customWidth="1"/>
    <col min="6" max="6" width="5.625" customWidth="1"/>
    <col min="7" max="7" width="5.625" style="17" customWidth="1"/>
    <col min="8" max="8" width="0.625" customWidth="1"/>
    <col min="9" max="9" width="6.75" customWidth="1"/>
    <col min="10" max="10" width="5.625" style="17" customWidth="1"/>
    <col min="11" max="11" width="5.625" customWidth="1"/>
    <col min="12" max="12" width="5.625" style="17" customWidth="1"/>
    <col min="13" max="13" width="5.625" customWidth="1"/>
    <col min="14" max="14" width="5.625" style="17" customWidth="1"/>
    <col min="15" max="15" width="5.625" customWidth="1"/>
    <col min="16" max="16" width="5.625" style="17" customWidth="1"/>
    <col min="17" max="17" width="5.625" customWidth="1"/>
    <col min="18" max="18" width="5.625" style="17" customWidth="1"/>
    <col min="19" max="19" width="5.625" customWidth="1"/>
    <col min="20" max="20" width="5.625" style="17" customWidth="1"/>
    <col min="21" max="21" width="5.625" customWidth="1"/>
    <col min="22" max="22" width="5.625" style="17" customWidth="1"/>
    <col min="23" max="23" width="5.625" customWidth="1"/>
    <col min="24" max="24" width="5.625" style="17" customWidth="1"/>
    <col min="25" max="25" width="5.625" customWidth="1"/>
    <col min="26" max="26" width="5.625" style="17" customWidth="1"/>
    <col min="27" max="27" width="5.625" customWidth="1"/>
    <col min="28" max="28" width="5.625" style="17" customWidth="1"/>
    <col min="29" max="29" width="5.625" customWidth="1"/>
    <col min="30" max="30" width="5.625" style="17" customWidth="1"/>
    <col min="31" max="31" width="5.625" customWidth="1"/>
    <col min="32" max="34" width="5.625" style="17" customWidth="1"/>
    <col min="35" max="35" width="5.625" customWidth="1"/>
    <col min="36" max="40" width="5.625" style="17" customWidth="1"/>
    <col min="41" max="41" width="5.625" customWidth="1"/>
    <col min="42" max="42" width="5.625" style="17" customWidth="1"/>
    <col min="43" max="43" width="5.625" customWidth="1"/>
    <col min="44" max="44" width="5.625" style="17" customWidth="1"/>
    <col min="45" max="45" width="5.625" customWidth="1"/>
    <col min="46" max="46" width="5.625" style="17" customWidth="1"/>
    <col min="47" max="47" width="0.375" customWidth="1"/>
    <col min="48" max="48" width="6.25" customWidth="1"/>
    <col min="49" max="49" width="4.5" style="17" customWidth="1"/>
  </cols>
  <sheetData>
    <row r="1" spans="1:49" ht="26.25" customHeight="1" thickBot="1">
      <c r="B1" s="4" t="s">
        <v>233</v>
      </c>
      <c r="D1" s="213" t="s">
        <v>353</v>
      </c>
    </row>
    <row r="2" spans="1:49" ht="15" customHeight="1">
      <c r="A2" s="377" t="s">
        <v>24</v>
      </c>
      <c r="B2" s="380" t="s">
        <v>47</v>
      </c>
      <c r="C2" s="383"/>
      <c r="D2" s="355" t="s">
        <v>189</v>
      </c>
      <c r="E2" s="356"/>
      <c r="F2" s="356"/>
      <c r="G2" s="357"/>
      <c r="H2" s="386"/>
      <c r="I2" s="355" t="s">
        <v>188</v>
      </c>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7"/>
      <c r="AU2" s="424"/>
      <c r="AV2" s="436" t="s">
        <v>132</v>
      </c>
      <c r="AW2" s="437"/>
    </row>
    <row r="3" spans="1:49" ht="18.75" customHeight="1">
      <c r="A3" s="378"/>
      <c r="B3" s="381"/>
      <c r="C3" s="384"/>
      <c r="D3" s="358"/>
      <c r="E3" s="359"/>
      <c r="F3" s="359"/>
      <c r="G3" s="360"/>
      <c r="H3" s="387"/>
      <c r="I3" s="358"/>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60"/>
      <c r="AU3" s="425"/>
      <c r="AV3" s="438"/>
      <c r="AW3" s="439"/>
    </row>
    <row r="4" spans="1:49" ht="11.25" customHeight="1">
      <c r="A4" s="378"/>
      <c r="B4" s="382"/>
      <c r="C4" s="385"/>
      <c r="D4" s="361"/>
      <c r="E4" s="362"/>
      <c r="F4" s="362"/>
      <c r="G4" s="363"/>
      <c r="H4" s="388"/>
      <c r="I4" s="361"/>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362"/>
      <c r="AR4" s="362"/>
      <c r="AS4" s="362"/>
      <c r="AT4" s="363"/>
      <c r="AU4" s="434"/>
      <c r="AV4" s="440" t="s">
        <v>299</v>
      </c>
      <c r="AW4" s="441"/>
    </row>
    <row r="5" spans="1:49" ht="2.25" customHeight="1">
      <c r="A5" s="378"/>
      <c r="B5" s="38"/>
      <c r="C5" s="3"/>
      <c r="D5" s="397"/>
      <c r="E5" s="398"/>
      <c r="F5" s="398"/>
      <c r="G5" s="399"/>
      <c r="H5" s="3"/>
      <c r="I5" s="397"/>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9"/>
      <c r="AU5" s="435"/>
      <c r="AV5" s="442"/>
      <c r="AW5" s="443"/>
    </row>
    <row r="6" spans="1:49" s="7" customFormat="1" ht="15" customHeight="1">
      <c r="A6" s="378"/>
      <c r="B6" s="389" t="s">
        <v>51</v>
      </c>
      <c r="C6" s="391"/>
      <c r="D6" s="395" t="s">
        <v>26</v>
      </c>
      <c r="E6" s="400"/>
      <c r="F6" s="414" t="s">
        <v>27</v>
      </c>
      <c r="G6" s="415"/>
      <c r="H6" s="418"/>
      <c r="I6" s="395" t="s">
        <v>28</v>
      </c>
      <c r="J6" s="400"/>
      <c r="K6" s="364" t="s">
        <v>5</v>
      </c>
      <c r="L6" s="365"/>
      <c r="M6" s="395" t="s">
        <v>29</v>
      </c>
      <c r="N6" s="396"/>
      <c r="O6" s="400" t="s">
        <v>30</v>
      </c>
      <c r="P6" s="400"/>
      <c r="Q6" s="395" t="s">
        <v>41</v>
      </c>
      <c r="R6" s="396"/>
      <c r="S6" s="400" t="s">
        <v>31</v>
      </c>
      <c r="T6" s="400"/>
      <c r="U6" s="395" t="s">
        <v>32</v>
      </c>
      <c r="V6" s="396"/>
      <c r="W6" s="400" t="s">
        <v>33</v>
      </c>
      <c r="X6" s="400"/>
      <c r="Y6" s="395" t="s">
        <v>11</v>
      </c>
      <c r="Z6" s="396"/>
      <c r="AA6" s="364" t="s">
        <v>12</v>
      </c>
      <c r="AB6" s="365"/>
      <c r="AC6" s="395" t="s">
        <v>34</v>
      </c>
      <c r="AD6" s="396"/>
      <c r="AE6" s="364" t="s">
        <v>14</v>
      </c>
      <c r="AF6" s="365"/>
      <c r="AG6" s="364" t="s">
        <v>18</v>
      </c>
      <c r="AH6" s="365"/>
      <c r="AI6" s="395" t="s">
        <v>35</v>
      </c>
      <c r="AJ6" s="396"/>
      <c r="AK6" s="395" t="s">
        <v>140</v>
      </c>
      <c r="AL6" s="396"/>
      <c r="AM6" s="428" t="s">
        <v>239</v>
      </c>
      <c r="AN6" s="429"/>
      <c r="AO6" s="408" t="s">
        <v>238</v>
      </c>
      <c r="AP6" s="409"/>
      <c r="AQ6" s="400" t="s">
        <v>25</v>
      </c>
      <c r="AR6" s="400"/>
      <c r="AS6" s="414" t="s">
        <v>143</v>
      </c>
      <c r="AT6" s="415"/>
      <c r="AU6" s="425"/>
      <c r="AV6" s="438"/>
      <c r="AW6" s="439"/>
    </row>
    <row r="7" spans="1:49" s="7" customFormat="1" ht="7.5" customHeight="1">
      <c r="A7" s="378"/>
      <c r="B7" s="387"/>
      <c r="C7" s="392"/>
      <c r="D7" s="374" t="s">
        <v>36</v>
      </c>
      <c r="E7" s="394"/>
      <c r="F7" s="404"/>
      <c r="G7" s="405"/>
      <c r="H7" s="419"/>
      <c r="I7" s="374" t="s">
        <v>38</v>
      </c>
      <c r="J7" s="394"/>
      <c r="K7" s="366"/>
      <c r="L7" s="367"/>
      <c r="M7" s="374"/>
      <c r="N7" s="375"/>
      <c r="O7" s="394"/>
      <c r="P7" s="394"/>
      <c r="Q7" s="374"/>
      <c r="R7" s="375"/>
      <c r="S7" s="394"/>
      <c r="T7" s="394"/>
      <c r="U7" s="374"/>
      <c r="V7" s="375"/>
      <c r="W7" s="394"/>
      <c r="X7" s="394"/>
      <c r="Y7" s="374"/>
      <c r="Z7" s="375"/>
      <c r="AA7" s="366"/>
      <c r="AB7" s="367"/>
      <c r="AC7" s="374"/>
      <c r="AD7" s="375"/>
      <c r="AE7" s="366"/>
      <c r="AF7" s="367"/>
      <c r="AG7" s="366"/>
      <c r="AH7" s="367"/>
      <c r="AI7" s="374"/>
      <c r="AJ7" s="375"/>
      <c r="AK7" s="374"/>
      <c r="AL7" s="375"/>
      <c r="AM7" s="430"/>
      <c r="AN7" s="431"/>
      <c r="AO7" s="410"/>
      <c r="AP7" s="411"/>
      <c r="AQ7" s="394"/>
      <c r="AR7" s="394"/>
      <c r="AS7" s="426" t="s">
        <v>98</v>
      </c>
      <c r="AT7" s="427"/>
      <c r="AU7" s="391"/>
      <c r="AV7" s="421">
        <v>235</v>
      </c>
      <c r="AW7" s="401">
        <v>200</v>
      </c>
    </row>
    <row r="8" spans="1:49" s="7" customFormat="1" ht="7.5" customHeight="1">
      <c r="A8" s="378"/>
      <c r="B8" s="387"/>
      <c r="C8" s="392"/>
      <c r="D8" s="374"/>
      <c r="E8" s="394"/>
      <c r="F8" s="404" t="s">
        <v>37</v>
      </c>
      <c r="G8" s="405"/>
      <c r="H8" s="419"/>
      <c r="I8" s="374"/>
      <c r="J8" s="394"/>
      <c r="K8" s="366"/>
      <c r="L8" s="367"/>
      <c r="M8" s="374" t="s">
        <v>39</v>
      </c>
      <c r="N8" s="375"/>
      <c r="O8" s="394" t="s">
        <v>40</v>
      </c>
      <c r="P8" s="394"/>
      <c r="Q8" s="374"/>
      <c r="R8" s="375"/>
      <c r="S8" s="394" t="s">
        <v>42</v>
      </c>
      <c r="T8" s="394"/>
      <c r="U8" s="374" t="s">
        <v>43</v>
      </c>
      <c r="V8" s="375"/>
      <c r="W8" s="394" t="s">
        <v>44</v>
      </c>
      <c r="X8" s="394"/>
      <c r="Y8" s="374"/>
      <c r="Z8" s="375"/>
      <c r="AA8" s="366"/>
      <c r="AB8" s="367"/>
      <c r="AC8" s="374" t="s">
        <v>45</v>
      </c>
      <c r="AD8" s="375"/>
      <c r="AE8" s="366"/>
      <c r="AF8" s="367"/>
      <c r="AG8" s="366"/>
      <c r="AH8" s="367"/>
      <c r="AI8" s="374" t="s">
        <v>46</v>
      </c>
      <c r="AJ8" s="375"/>
      <c r="AK8" s="374"/>
      <c r="AL8" s="375"/>
      <c r="AM8" s="430"/>
      <c r="AN8" s="431"/>
      <c r="AO8" s="410"/>
      <c r="AP8" s="411"/>
      <c r="AQ8" s="394"/>
      <c r="AR8" s="394"/>
      <c r="AS8" s="426"/>
      <c r="AT8" s="427"/>
      <c r="AU8" s="392"/>
      <c r="AV8" s="422"/>
      <c r="AW8" s="402"/>
    </row>
    <row r="9" spans="1:49" s="7" customFormat="1" ht="15" customHeight="1" thickBot="1">
      <c r="A9" s="379"/>
      <c r="B9" s="390"/>
      <c r="C9" s="393"/>
      <c r="D9" s="370" t="s">
        <v>48</v>
      </c>
      <c r="E9" s="371"/>
      <c r="F9" s="406"/>
      <c r="G9" s="407"/>
      <c r="H9" s="420"/>
      <c r="I9" s="370" t="s">
        <v>50</v>
      </c>
      <c r="J9" s="371"/>
      <c r="K9" s="368"/>
      <c r="L9" s="369"/>
      <c r="M9" s="370"/>
      <c r="N9" s="376"/>
      <c r="O9" s="371"/>
      <c r="P9" s="371"/>
      <c r="Q9" s="370"/>
      <c r="R9" s="376"/>
      <c r="S9" s="371"/>
      <c r="T9" s="371"/>
      <c r="U9" s="370"/>
      <c r="V9" s="376"/>
      <c r="W9" s="371"/>
      <c r="X9" s="371"/>
      <c r="Y9" s="370"/>
      <c r="Z9" s="376"/>
      <c r="AA9" s="368"/>
      <c r="AB9" s="369"/>
      <c r="AC9" s="370"/>
      <c r="AD9" s="376"/>
      <c r="AE9" s="368"/>
      <c r="AF9" s="369"/>
      <c r="AG9" s="368"/>
      <c r="AH9" s="369"/>
      <c r="AI9" s="370"/>
      <c r="AJ9" s="376"/>
      <c r="AK9" s="370"/>
      <c r="AL9" s="376"/>
      <c r="AM9" s="432"/>
      <c r="AN9" s="433"/>
      <c r="AO9" s="412"/>
      <c r="AP9" s="413"/>
      <c r="AQ9" s="371"/>
      <c r="AR9" s="371"/>
      <c r="AS9" s="416" t="s">
        <v>231</v>
      </c>
      <c r="AT9" s="417"/>
      <c r="AU9" s="393"/>
      <c r="AV9" s="423"/>
      <c r="AW9" s="403"/>
    </row>
    <row r="10" spans="1:49" s="7" customFormat="1" ht="33.75" customHeight="1">
      <c r="A10" s="5">
        <v>1</v>
      </c>
      <c r="B10" s="46" t="s">
        <v>192</v>
      </c>
      <c r="C10" s="6"/>
      <c r="D10" s="64">
        <v>18</v>
      </c>
      <c r="E10" s="65">
        <v>900</v>
      </c>
      <c r="F10" s="64"/>
      <c r="G10" s="66"/>
      <c r="H10" s="67"/>
      <c r="I10" s="64"/>
      <c r="J10" s="65"/>
      <c r="K10" s="64">
        <v>2</v>
      </c>
      <c r="L10" s="65" t="s">
        <v>53</v>
      </c>
      <c r="M10" s="64"/>
      <c r="N10" s="66"/>
      <c r="O10" s="68"/>
      <c r="P10" s="65"/>
      <c r="Q10" s="64"/>
      <c r="R10" s="66"/>
      <c r="S10" s="68"/>
      <c r="T10" s="65"/>
      <c r="U10" s="64"/>
      <c r="V10" s="66"/>
      <c r="W10" s="68"/>
      <c r="X10" s="65"/>
      <c r="Y10" s="64"/>
      <c r="Z10" s="66"/>
      <c r="AA10" s="68"/>
      <c r="AB10" s="65"/>
      <c r="AC10" s="64"/>
      <c r="AD10" s="66"/>
      <c r="AE10" s="64"/>
      <c r="AF10" s="66"/>
      <c r="AG10" s="68"/>
      <c r="AH10" s="65"/>
      <c r="AI10" s="64"/>
      <c r="AJ10" s="66"/>
      <c r="AK10" s="69"/>
      <c r="AL10" s="66"/>
      <c r="AM10" s="69"/>
      <c r="AN10" s="66"/>
      <c r="AO10" s="64"/>
      <c r="AP10" s="66"/>
      <c r="AQ10" s="68"/>
      <c r="AR10" s="65"/>
      <c r="AS10" s="64"/>
      <c r="AT10" s="66"/>
      <c r="AU10" s="67"/>
      <c r="AV10" s="70" t="s">
        <v>81</v>
      </c>
      <c r="AW10" s="71" t="s">
        <v>64</v>
      </c>
    </row>
    <row r="11" spans="1:49" s="7" customFormat="1" ht="33.75" customHeight="1">
      <c r="A11" s="8">
        <v>2</v>
      </c>
      <c r="B11" s="39" t="s">
        <v>193</v>
      </c>
      <c r="C11" s="9"/>
      <c r="D11" s="72" t="s">
        <v>54</v>
      </c>
      <c r="E11" s="73" t="s">
        <v>55</v>
      </c>
      <c r="F11" s="72"/>
      <c r="G11" s="74"/>
      <c r="H11" s="75"/>
      <c r="I11" s="72"/>
      <c r="J11" s="73"/>
      <c r="K11" s="72"/>
      <c r="L11" s="73"/>
      <c r="M11" s="72"/>
      <c r="N11" s="74"/>
      <c r="O11" s="76"/>
      <c r="P11" s="73"/>
      <c r="Q11" s="72"/>
      <c r="R11" s="74"/>
      <c r="S11" s="76"/>
      <c r="T11" s="73"/>
      <c r="U11" s="72"/>
      <c r="V11" s="74"/>
      <c r="W11" s="76"/>
      <c r="X11" s="73"/>
      <c r="Y11" s="72"/>
      <c r="Z11" s="74"/>
      <c r="AA11" s="77"/>
      <c r="AB11" s="78"/>
      <c r="AC11" s="72"/>
      <c r="AD11" s="74"/>
      <c r="AE11" s="72"/>
      <c r="AF11" s="74"/>
      <c r="AG11" s="76"/>
      <c r="AH11" s="73"/>
      <c r="AI11" s="72"/>
      <c r="AJ11" s="74"/>
      <c r="AK11" s="72" t="s">
        <v>56</v>
      </c>
      <c r="AL11" s="74" t="s">
        <v>57</v>
      </c>
      <c r="AM11" s="80"/>
      <c r="AN11" s="74"/>
      <c r="AO11" s="72"/>
      <c r="AP11" s="74"/>
      <c r="AQ11" s="76"/>
      <c r="AR11" s="73"/>
      <c r="AS11" s="72"/>
      <c r="AT11" s="74"/>
      <c r="AU11" s="75"/>
      <c r="AV11" s="72" t="s">
        <v>82</v>
      </c>
      <c r="AW11" s="79" t="s">
        <v>57</v>
      </c>
    </row>
    <row r="12" spans="1:49" s="7" customFormat="1" ht="33.75" customHeight="1">
      <c r="A12" s="8">
        <v>3</v>
      </c>
      <c r="B12" s="39" t="s">
        <v>194</v>
      </c>
      <c r="C12" s="9"/>
      <c r="D12" s="72"/>
      <c r="E12" s="73"/>
      <c r="F12" s="72"/>
      <c r="G12" s="74"/>
      <c r="H12" s="75"/>
      <c r="I12" s="72"/>
      <c r="J12" s="73"/>
      <c r="K12" s="72"/>
      <c r="L12" s="73"/>
      <c r="M12" s="72"/>
      <c r="N12" s="74"/>
      <c r="O12" s="76"/>
      <c r="P12" s="73"/>
      <c r="Q12" s="72"/>
      <c r="R12" s="74"/>
      <c r="S12" s="76"/>
      <c r="T12" s="73"/>
      <c r="U12" s="72"/>
      <c r="V12" s="74"/>
      <c r="W12" s="76"/>
      <c r="X12" s="73"/>
      <c r="Y12" s="72"/>
      <c r="Z12" s="74"/>
      <c r="AA12" s="76"/>
      <c r="AB12" s="73"/>
      <c r="AC12" s="72"/>
      <c r="AD12" s="74"/>
      <c r="AE12" s="72"/>
      <c r="AF12" s="74"/>
      <c r="AG12" s="76"/>
      <c r="AH12" s="73"/>
      <c r="AI12" s="72"/>
      <c r="AJ12" s="74"/>
      <c r="AK12" s="80"/>
      <c r="AL12" s="74"/>
      <c r="AM12" s="80"/>
      <c r="AN12" s="74"/>
      <c r="AO12" s="72"/>
      <c r="AP12" s="74"/>
      <c r="AQ12" s="76"/>
      <c r="AR12" s="73"/>
      <c r="AS12" s="72" t="s">
        <v>59</v>
      </c>
      <c r="AT12" s="74" t="s">
        <v>53</v>
      </c>
      <c r="AU12" s="75"/>
      <c r="AV12" s="72" t="s">
        <v>83</v>
      </c>
      <c r="AW12" s="79" t="s">
        <v>57</v>
      </c>
    </row>
    <row r="13" spans="1:49" s="7" customFormat="1" ht="33.75" customHeight="1">
      <c r="A13" s="8">
        <v>4</v>
      </c>
      <c r="B13" s="39" t="s">
        <v>218</v>
      </c>
      <c r="C13" s="9"/>
      <c r="D13" s="72"/>
      <c r="E13" s="73"/>
      <c r="F13" s="72"/>
      <c r="G13" s="74"/>
      <c r="H13" s="75"/>
      <c r="I13" s="72" t="s">
        <v>58</v>
      </c>
      <c r="J13" s="73" t="s">
        <v>53</v>
      </c>
      <c r="K13" s="72"/>
      <c r="L13" s="73"/>
      <c r="M13" s="72"/>
      <c r="N13" s="74"/>
      <c r="O13" s="76"/>
      <c r="P13" s="73"/>
      <c r="Q13" s="72"/>
      <c r="R13" s="74"/>
      <c r="S13" s="76"/>
      <c r="T13" s="73"/>
      <c r="U13" s="72"/>
      <c r="V13" s="74"/>
      <c r="W13" s="76"/>
      <c r="X13" s="73"/>
      <c r="Y13" s="81" t="s">
        <v>220</v>
      </c>
      <c r="Z13" s="82" t="s">
        <v>221</v>
      </c>
      <c r="AA13" s="76"/>
      <c r="AB13" s="73"/>
      <c r="AC13" s="72"/>
      <c r="AD13" s="74"/>
      <c r="AE13" s="72"/>
      <c r="AF13" s="74"/>
      <c r="AG13" s="76"/>
      <c r="AH13" s="73"/>
      <c r="AI13" s="72"/>
      <c r="AJ13" s="74"/>
      <c r="AK13" s="80"/>
      <c r="AL13" s="74"/>
      <c r="AM13" s="80"/>
      <c r="AN13" s="74"/>
      <c r="AO13" s="72"/>
      <c r="AP13" s="74"/>
      <c r="AQ13" s="76"/>
      <c r="AR13" s="73"/>
      <c r="AS13" s="72"/>
      <c r="AT13" s="74"/>
      <c r="AU13" s="75"/>
      <c r="AV13" s="72" t="s">
        <v>84</v>
      </c>
      <c r="AW13" s="79" t="s">
        <v>57</v>
      </c>
    </row>
    <row r="14" spans="1:49" s="7" customFormat="1" ht="33.75" customHeight="1" thickBot="1">
      <c r="A14" s="10">
        <v>5</v>
      </c>
      <c r="B14" s="47" t="s">
        <v>195</v>
      </c>
      <c r="C14" s="11"/>
      <c r="D14" s="83"/>
      <c r="E14" s="84"/>
      <c r="F14" s="83"/>
      <c r="G14" s="85"/>
      <c r="H14" s="86"/>
      <c r="I14" s="83"/>
      <c r="J14" s="84"/>
      <c r="K14" s="83"/>
      <c r="L14" s="84"/>
      <c r="M14" s="83"/>
      <c r="N14" s="85"/>
      <c r="O14" s="87"/>
      <c r="P14" s="84"/>
      <c r="Q14" s="83"/>
      <c r="R14" s="85"/>
      <c r="S14" s="87"/>
      <c r="T14" s="84"/>
      <c r="U14" s="83"/>
      <c r="V14" s="85"/>
      <c r="W14" s="87"/>
      <c r="X14" s="84"/>
      <c r="Y14" s="83"/>
      <c r="Z14" s="85"/>
      <c r="AA14" s="87" t="s">
        <v>56</v>
      </c>
      <c r="AB14" s="84" t="s">
        <v>53</v>
      </c>
      <c r="AC14" s="83"/>
      <c r="AD14" s="85"/>
      <c r="AE14" s="83"/>
      <c r="AF14" s="85"/>
      <c r="AG14" s="87"/>
      <c r="AH14" s="84"/>
      <c r="AI14" s="83"/>
      <c r="AJ14" s="85"/>
      <c r="AK14" s="88"/>
      <c r="AL14" s="85"/>
      <c r="AM14" s="88"/>
      <c r="AN14" s="85"/>
      <c r="AO14" s="83"/>
      <c r="AP14" s="85"/>
      <c r="AQ14" s="87"/>
      <c r="AR14" s="84"/>
      <c r="AS14" s="83"/>
      <c r="AT14" s="85"/>
      <c r="AU14" s="86"/>
      <c r="AV14" s="83" t="s">
        <v>85</v>
      </c>
      <c r="AW14" s="89" t="s">
        <v>57</v>
      </c>
    </row>
    <row r="15" spans="1:49" s="7" customFormat="1" ht="33.75" customHeight="1">
      <c r="A15" s="12">
        <v>6</v>
      </c>
      <c r="B15" s="48" t="s">
        <v>92</v>
      </c>
      <c r="C15" s="13"/>
      <c r="D15" s="64"/>
      <c r="E15" s="65"/>
      <c r="F15" s="64"/>
      <c r="G15" s="66"/>
      <c r="H15" s="90"/>
      <c r="I15" s="64"/>
      <c r="J15" s="65"/>
      <c r="K15" s="64"/>
      <c r="L15" s="65"/>
      <c r="M15" s="64"/>
      <c r="N15" s="66"/>
      <c r="O15" s="68" t="s">
        <v>56</v>
      </c>
      <c r="P15" s="65" t="s">
        <v>53</v>
      </c>
      <c r="Q15" s="64"/>
      <c r="R15" s="66"/>
      <c r="S15" s="68"/>
      <c r="T15" s="65"/>
      <c r="U15" s="64"/>
      <c r="V15" s="66"/>
      <c r="W15" s="68"/>
      <c r="X15" s="65"/>
      <c r="Y15" s="64"/>
      <c r="Z15" s="66"/>
      <c r="AA15" s="68"/>
      <c r="AB15" s="65"/>
      <c r="AC15" s="64"/>
      <c r="AD15" s="66"/>
      <c r="AE15" s="64"/>
      <c r="AF15" s="66"/>
      <c r="AG15" s="68"/>
      <c r="AH15" s="65"/>
      <c r="AI15" s="64"/>
      <c r="AJ15" s="66"/>
      <c r="AK15" s="69"/>
      <c r="AL15" s="66"/>
      <c r="AM15" s="69"/>
      <c r="AN15" s="66"/>
      <c r="AO15" s="64"/>
      <c r="AP15" s="66"/>
      <c r="AQ15" s="68"/>
      <c r="AR15" s="65"/>
      <c r="AS15" s="64"/>
      <c r="AT15" s="66"/>
      <c r="AU15" s="90"/>
      <c r="AV15" s="64" t="s">
        <v>86</v>
      </c>
      <c r="AW15" s="91" t="s">
        <v>57</v>
      </c>
    </row>
    <row r="16" spans="1:49" s="7" customFormat="1" ht="33.75" customHeight="1">
      <c r="A16" s="8">
        <v>7</v>
      </c>
      <c r="B16" s="39" t="s">
        <v>196</v>
      </c>
      <c r="C16" s="9"/>
      <c r="D16" s="72"/>
      <c r="E16" s="73"/>
      <c r="F16" s="72"/>
      <c r="G16" s="74"/>
      <c r="H16" s="75"/>
      <c r="I16" s="72"/>
      <c r="J16" s="73"/>
      <c r="K16" s="72"/>
      <c r="L16" s="73"/>
      <c r="M16" s="72"/>
      <c r="N16" s="74"/>
      <c r="O16" s="76"/>
      <c r="P16" s="73"/>
      <c r="Q16" s="72"/>
      <c r="R16" s="74"/>
      <c r="S16" s="76"/>
      <c r="T16" s="73"/>
      <c r="U16" s="72"/>
      <c r="V16" s="74"/>
      <c r="W16" s="76"/>
      <c r="X16" s="73"/>
      <c r="Y16" s="92"/>
      <c r="Z16" s="93"/>
      <c r="AA16" s="76"/>
      <c r="AB16" s="73"/>
      <c r="AC16" s="72"/>
      <c r="AD16" s="74"/>
      <c r="AE16" s="72"/>
      <c r="AF16" s="74"/>
      <c r="AG16" s="76"/>
      <c r="AH16" s="73"/>
      <c r="AI16" s="72"/>
      <c r="AJ16" s="74"/>
      <c r="AK16" s="72" t="s">
        <v>68</v>
      </c>
      <c r="AL16" s="74" t="s">
        <v>64</v>
      </c>
      <c r="AM16" s="80"/>
      <c r="AN16" s="74"/>
      <c r="AO16" s="72"/>
      <c r="AP16" s="74"/>
      <c r="AQ16" s="76"/>
      <c r="AR16" s="73"/>
      <c r="AS16" s="72"/>
      <c r="AT16" s="74"/>
      <c r="AU16" s="75"/>
      <c r="AV16" s="72" t="s">
        <v>87</v>
      </c>
      <c r="AW16" s="79" t="s">
        <v>89</v>
      </c>
    </row>
    <row r="17" spans="1:49" s="7" customFormat="1" ht="33.75" customHeight="1">
      <c r="A17" s="8">
        <v>8</v>
      </c>
      <c r="B17" s="39" t="s">
        <v>197</v>
      </c>
      <c r="C17" s="9"/>
      <c r="D17" s="72"/>
      <c r="E17" s="73"/>
      <c r="F17" s="72"/>
      <c r="G17" s="74"/>
      <c r="H17" s="75"/>
      <c r="I17" s="72"/>
      <c r="J17" s="73"/>
      <c r="K17" s="72"/>
      <c r="L17" s="73"/>
      <c r="M17" s="72"/>
      <c r="N17" s="74"/>
      <c r="O17" s="76"/>
      <c r="P17" s="73"/>
      <c r="Q17" s="72"/>
      <c r="R17" s="74"/>
      <c r="S17" s="76"/>
      <c r="T17" s="73"/>
      <c r="U17" s="72"/>
      <c r="V17" s="74"/>
      <c r="W17" s="76" t="s">
        <v>56</v>
      </c>
      <c r="X17" s="73" t="s">
        <v>55</v>
      </c>
      <c r="Y17" s="72"/>
      <c r="Z17" s="74"/>
      <c r="AA17" s="76"/>
      <c r="AB17" s="73"/>
      <c r="AC17" s="72"/>
      <c r="AD17" s="74"/>
      <c r="AE17" s="72"/>
      <c r="AF17" s="74"/>
      <c r="AG17" s="76"/>
      <c r="AH17" s="73"/>
      <c r="AI17" s="72"/>
      <c r="AJ17" s="74"/>
      <c r="AK17" s="80"/>
      <c r="AL17" s="74"/>
      <c r="AM17" s="80"/>
      <c r="AN17" s="74"/>
      <c r="AO17" s="72"/>
      <c r="AP17" s="74"/>
      <c r="AQ17" s="76"/>
      <c r="AR17" s="73"/>
      <c r="AS17" s="72"/>
      <c r="AT17" s="74"/>
      <c r="AU17" s="75"/>
      <c r="AV17" s="72" t="s">
        <v>88</v>
      </c>
      <c r="AW17" s="79" t="s">
        <v>90</v>
      </c>
    </row>
    <row r="18" spans="1:49" s="7" customFormat="1" ht="33.75" customHeight="1">
      <c r="A18" s="8">
        <v>9</v>
      </c>
      <c r="B18" s="39" t="s">
        <v>198</v>
      </c>
      <c r="C18" s="9"/>
      <c r="D18" s="72"/>
      <c r="E18" s="73"/>
      <c r="F18" s="72"/>
      <c r="G18" s="74"/>
      <c r="H18" s="75"/>
      <c r="I18" s="72"/>
      <c r="J18" s="73"/>
      <c r="K18" s="72"/>
      <c r="L18" s="73"/>
      <c r="M18" s="72" t="s">
        <v>244</v>
      </c>
      <c r="N18" s="74" t="s">
        <v>71</v>
      </c>
      <c r="O18" s="76"/>
      <c r="P18" s="73"/>
      <c r="Q18" s="72"/>
      <c r="R18" s="74"/>
      <c r="S18" s="76"/>
      <c r="T18" s="73"/>
      <c r="U18" s="72" t="s">
        <v>145</v>
      </c>
      <c r="V18" s="74" t="s">
        <v>166</v>
      </c>
      <c r="W18" s="76"/>
      <c r="X18" s="73"/>
      <c r="Y18" s="72"/>
      <c r="Z18" s="74"/>
      <c r="AA18" s="76"/>
      <c r="AB18" s="73"/>
      <c r="AC18" s="72"/>
      <c r="AD18" s="74"/>
      <c r="AE18" s="72"/>
      <c r="AF18" s="74"/>
      <c r="AG18" s="76"/>
      <c r="AH18" s="73"/>
      <c r="AI18" s="72"/>
      <c r="AJ18" s="74"/>
      <c r="AK18" s="80"/>
      <c r="AL18" s="74"/>
      <c r="AM18" s="80"/>
      <c r="AN18" s="74"/>
      <c r="AO18" s="72"/>
      <c r="AP18" s="74"/>
      <c r="AQ18" s="76"/>
      <c r="AR18" s="73"/>
      <c r="AS18" s="72"/>
      <c r="AT18" s="74"/>
      <c r="AU18" s="75"/>
      <c r="AV18" s="72" t="s">
        <v>163</v>
      </c>
      <c r="AW18" s="79" t="s">
        <v>64</v>
      </c>
    </row>
    <row r="19" spans="1:49" s="7" customFormat="1" ht="33.75" customHeight="1" thickBot="1">
      <c r="A19" s="14">
        <v>10</v>
      </c>
      <c r="B19" s="49" t="s">
        <v>199</v>
      </c>
      <c r="C19" s="15"/>
      <c r="D19" s="94"/>
      <c r="E19" s="95"/>
      <c r="F19" s="94"/>
      <c r="G19" s="96"/>
      <c r="H19" s="97"/>
      <c r="I19" s="94"/>
      <c r="J19" s="95"/>
      <c r="K19" s="94"/>
      <c r="L19" s="95"/>
      <c r="M19" s="94"/>
      <c r="N19" s="96"/>
      <c r="O19" s="98"/>
      <c r="P19" s="95"/>
      <c r="Q19" s="94"/>
      <c r="R19" s="96"/>
      <c r="S19" s="98"/>
      <c r="T19" s="95"/>
      <c r="U19" s="94" t="s">
        <v>200</v>
      </c>
      <c r="V19" s="96" t="s">
        <v>53</v>
      </c>
      <c r="W19" s="98"/>
      <c r="X19" s="95"/>
      <c r="Y19" s="94"/>
      <c r="Z19" s="96"/>
      <c r="AA19" s="98"/>
      <c r="AB19" s="95"/>
      <c r="AC19" s="94"/>
      <c r="AD19" s="96"/>
      <c r="AE19" s="94"/>
      <c r="AF19" s="96"/>
      <c r="AG19" s="98"/>
      <c r="AH19" s="95"/>
      <c r="AI19" s="94"/>
      <c r="AJ19" s="96"/>
      <c r="AK19" s="99"/>
      <c r="AL19" s="96"/>
      <c r="AM19" s="99"/>
      <c r="AN19" s="96"/>
      <c r="AO19" s="94"/>
      <c r="AP19" s="96"/>
      <c r="AQ19" s="98"/>
      <c r="AR19" s="95"/>
      <c r="AS19" s="94"/>
      <c r="AT19" s="96"/>
      <c r="AU19" s="97"/>
      <c r="AV19" s="94" t="s">
        <v>164</v>
      </c>
      <c r="AW19" s="100" t="s">
        <v>64</v>
      </c>
    </row>
    <row r="20" spans="1:49" s="7" customFormat="1" ht="33.75" customHeight="1">
      <c r="A20" s="5">
        <v>11</v>
      </c>
      <c r="B20" s="46" t="s">
        <v>224</v>
      </c>
      <c r="C20" s="6"/>
      <c r="D20" s="70"/>
      <c r="E20" s="101"/>
      <c r="F20" s="70" t="s">
        <v>54</v>
      </c>
      <c r="G20" s="102" t="s">
        <v>53</v>
      </c>
      <c r="H20" s="67"/>
      <c r="I20" s="70"/>
      <c r="J20" s="101"/>
      <c r="K20" s="70"/>
      <c r="L20" s="101"/>
      <c r="M20" s="70"/>
      <c r="N20" s="102"/>
      <c r="O20" s="103"/>
      <c r="P20" s="101"/>
      <c r="Q20" s="70"/>
      <c r="R20" s="102"/>
      <c r="S20" s="103"/>
      <c r="T20" s="101"/>
      <c r="U20" s="70"/>
      <c r="V20" s="102"/>
      <c r="W20" s="103"/>
      <c r="X20" s="101"/>
      <c r="Y20" s="70"/>
      <c r="Z20" s="102"/>
      <c r="AA20" s="103"/>
      <c r="AB20" s="101"/>
      <c r="AC20" s="70"/>
      <c r="AD20" s="102"/>
      <c r="AE20" s="70"/>
      <c r="AF20" s="102"/>
      <c r="AG20" s="103"/>
      <c r="AH20" s="101"/>
      <c r="AI20" s="70"/>
      <c r="AJ20" s="102"/>
      <c r="AK20" s="104"/>
      <c r="AL20" s="102"/>
      <c r="AM20" s="104"/>
      <c r="AN20" s="102"/>
      <c r="AO20" s="70"/>
      <c r="AP20" s="102"/>
      <c r="AQ20" s="103"/>
      <c r="AR20" s="101"/>
      <c r="AS20" s="70" t="s">
        <v>225</v>
      </c>
      <c r="AT20" s="102" t="s">
        <v>214</v>
      </c>
      <c r="AU20" s="67"/>
      <c r="AV20" s="70" t="s">
        <v>165</v>
      </c>
      <c r="AW20" s="71" t="s">
        <v>64</v>
      </c>
    </row>
    <row r="21" spans="1:49" s="7" customFormat="1" ht="33.75" customHeight="1">
      <c r="A21" s="8">
        <v>12</v>
      </c>
      <c r="B21" s="39" t="s">
        <v>202</v>
      </c>
      <c r="C21" s="9"/>
      <c r="D21" s="72" t="s">
        <v>60</v>
      </c>
      <c r="E21" s="73" t="s">
        <v>61</v>
      </c>
      <c r="F21" s="72"/>
      <c r="G21" s="74"/>
      <c r="H21" s="75"/>
      <c r="I21" s="72"/>
      <c r="J21" s="73"/>
      <c r="K21" s="72"/>
      <c r="L21" s="73"/>
      <c r="M21" s="72"/>
      <c r="N21" s="74"/>
      <c r="O21" s="76"/>
      <c r="P21" s="73"/>
      <c r="Q21" s="72"/>
      <c r="R21" s="74"/>
      <c r="S21" s="76"/>
      <c r="T21" s="73"/>
      <c r="U21" s="72"/>
      <c r="V21" s="74"/>
      <c r="W21" s="76"/>
      <c r="X21" s="73"/>
      <c r="Y21" s="72"/>
      <c r="Z21" s="74"/>
      <c r="AA21" s="76"/>
      <c r="AB21" s="73"/>
      <c r="AC21" s="72"/>
      <c r="AD21" s="74"/>
      <c r="AE21" s="72"/>
      <c r="AF21" s="74"/>
      <c r="AG21" s="76"/>
      <c r="AH21" s="73"/>
      <c r="AI21" s="72"/>
      <c r="AJ21" s="74"/>
      <c r="AK21" s="80"/>
      <c r="AL21" s="74"/>
      <c r="AM21" s="80"/>
      <c r="AN21" s="74"/>
      <c r="AO21" s="72"/>
      <c r="AP21" s="74"/>
      <c r="AQ21" s="76"/>
      <c r="AR21" s="73"/>
      <c r="AS21" s="72"/>
      <c r="AT21" s="74"/>
      <c r="AU21" s="75"/>
      <c r="AV21" s="72" t="s">
        <v>165</v>
      </c>
      <c r="AW21" s="79" t="s">
        <v>64</v>
      </c>
    </row>
    <row r="22" spans="1:49" s="7" customFormat="1" ht="33.75" customHeight="1">
      <c r="A22" s="8">
        <v>13</v>
      </c>
      <c r="B22" s="39" t="s">
        <v>201</v>
      </c>
      <c r="C22" s="9"/>
      <c r="D22" s="72"/>
      <c r="E22" s="73"/>
      <c r="F22" s="72"/>
      <c r="G22" s="74"/>
      <c r="H22" s="75"/>
      <c r="I22" s="72"/>
      <c r="J22" s="73"/>
      <c r="K22" s="72"/>
      <c r="L22" s="73"/>
      <c r="M22" s="72"/>
      <c r="N22" s="74"/>
      <c r="O22" s="76"/>
      <c r="P22" s="73"/>
      <c r="Q22" s="72"/>
      <c r="R22" s="74"/>
      <c r="S22" s="76"/>
      <c r="T22" s="73"/>
      <c r="U22" s="72"/>
      <c r="V22" s="74"/>
      <c r="W22" s="76" t="s">
        <v>73</v>
      </c>
      <c r="X22" s="73" t="s">
        <v>53</v>
      </c>
      <c r="Y22" s="72"/>
      <c r="Z22" s="74"/>
      <c r="AA22" s="76"/>
      <c r="AB22" s="73"/>
      <c r="AC22" s="72"/>
      <c r="AD22" s="74"/>
      <c r="AE22" s="72"/>
      <c r="AF22" s="74"/>
      <c r="AG22" s="76"/>
      <c r="AH22" s="73"/>
      <c r="AI22" s="72"/>
      <c r="AJ22" s="74"/>
      <c r="AK22" s="80"/>
      <c r="AL22" s="74"/>
      <c r="AM22" s="80"/>
      <c r="AN22" s="74"/>
      <c r="AO22" s="72"/>
      <c r="AP22" s="74"/>
      <c r="AQ22" s="76"/>
      <c r="AR22" s="73"/>
      <c r="AS22" s="72"/>
      <c r="AT22" s="74"/>
      <c r="AU22" s="75"/>
      <c r="AV22" s="72" t="s">
        <v>245</v>
      </c>
      <c r="AW22" s="79" t="s">
        <v>64</v>
      </c>
    </row>
    <row r="23" spans="1:49" s="7" customFormat="1" ht="33.75" customHeight="1">
      <c r="A23" s="8">
        <v>14</v>
      </c>
      <c r="B23" s="39" t="s">
        <v>246</v>
      </c>
      <c r="C23" s="9"/>
      <c r="D23" s="72" t="s">
        <v>62</v>
      </c>
      <c r="E23" s="73" t="s">
        <v>53</v>
      </c>
      <c r="F23" s="72" t="s">
        <v>247</v>
      </c>
      <c r="G23" s="74" t="s">
        <v>248</v>
      </c>
      <c r="H23" s="75"/>
      <c r="I23" s="72"/>
      <c r="J23" s="73"/>
      <c r="K23" s="72"/>
      <c r="L23" s="73"/>
      <c r="M23" s="72"/>
      <c r="N23" s="74"/>
      <c r="O23" s="76"/>
      <c r="P23" s="73"/>
      <c r="Q23" s="72"/>
      <c r="R23" s="74"/>
      <c r="S23" s="76"/>
      <c r="T23" s="73"/>
      <c r="U23" s="72"/>
      <c r="V23" s="74"/>
      <c r="W23" s="76"/>
      <c r="X23" s="73"/>
      <c r="Y23" s="72"/>
      <c r="Z23" s="74"/>
      <c r="AA23" s="76"/>
      <c r="AB23" s="73"/>
      <c r="AC23" s="72"/>
      <c r="AD23" s="74"/>
      <c r="AE23" s="72"/>
      <c r="AF23" s="74"/>
      <c r="AG23" s="76"/>
      <c r="AH23" s="73"/>
      <c r="AI23" s="72"/>
      <c r="AJ23" s="74"/>
      <c r="AK23" s="80"/>
      <c r="AL23" s="74"/>
      <c r="AM23" s="80"/>
      <c r="AN23" s="74"/>
      <c r="AO23" s="72"/>
      <c r="AP23" s="74"/>
      <c r="AQ23" s="76"/>
      <c r="AR23" s="73"/>
      <c r="AS23" s="72"/>
      <c r="AT23" s="74"/>
      <c r="AU23" s="75"/>
      <c r="AV23" s="72" t="s">
        <v>167</v>
      </c>
      <c r="AW23" s="79" t="s">
        <v>166</v>
      </c>
    </row>
    <row r="24" spans="1:49" s="7" customFormat="1" ht="33.75" customHeight="1" thickBot="1">
      <c r="A24" s="10">
        <v>15</v>
      </c>
      <c r="B24" s="47" t="s">
        <v>216</v>
      </c>
      <c r="C24" s="11"/>
      <c r="D24" s="83"/>
      <c r="E24" s="84"/>
      <c r="F24" s="127" t="s">
        <v>215</v>
      </c>
      <c r="G24" s="128" t="s">
        <v>214</v>
      </c>
      <c r="H24" s="86"/>
      <c r="I24" s="83"/>
      <c r="J24" s="84"/>
      <c r="K24" s="83"/>
      <c r="L24" s="84"/>
      <c r="M24" s="83"/>
      <c r="N24" s="85"/>
      <c r="O24" s="87"/>
      <c r="P24" s="84"/>
      <c r="Q24" s="83"/>
      <c r="R24" s="85"/>
      <c r="S24" s="87"/>
      <c r="T24" s="84"/>
      <c r="U24" s="83"/>
      <c r="V24" s="85"/>
      <c r="W24" s="87"/>
      <c r="X24" s="84"/>
      <c r="Y24" s="83"/>
      <c r="Z24" s="85"/>
      <c r="AA24" s="87"/>
      <c r="AB24" s="84"/>
      <c r="AC24" s="83"/>
      <c r="AD24" s="85"/>
      <c r="AE24" s="105"/>
      <c r="AF24" s="106"/>
      <c r="AG24" s="87"/>
      <c r="AH24" s="84"/>
      <c r="AI24" s="83"/>
      <c r="AJ24" s="85"/>
      <c r="AK24" s="88"/>
      <c r="AL24" s="85"/>
      <c r="AM24" s="88"/>
      <c r="AN24" s="85"/>
      <c r="AO24" s="83"/>
      <c r="AP24" s="85"/>
      <c r="AQ24" s="87"/>
      <c r="AR24" s="84"/>
      <c r="AS24" s="83" t="s">
        <v>250</v>
      </c>
      <c r="AT24" s="85" t="s">
        <v>249</v>
      </c>
      <c r="AU24" s="86"/>
      <c r="AV24" s="83" t="s">
        <v>168</v>
      </c>
      <c r="AW24" s="89" t="s">
        <v>166</v>
      </c>
    </row>
    <row r="25" spans="1:49" s="7" customFormat="1" ht="33.75" customHeight="1">
      <c r="A25" s="12">
        <v>16</v>
      </c>
      <c r="B25" s="48" t="s">
        <v>217</v>
      </c>
      <c r="C25" s="13"/>
      <c r="D25" s="64" t="s">
        <v>63</v>
      </c>
      <c r="E25" s="65" t="s">
        <v>53</v>
      </c>
      <c r="F25" s="64"/>
      <c r="G25" s="66"/>
      <c r="H25" s="90"/>
      <c r="I25" s="64"/>
      <c r="J25" s="65"/>
      <c r="K25" s="64"/>
      <c r="L25" s="65"/>
      <c r="M25" s="64"/>
      <c r="N25" s="66"/>
      <c r="O25" s="68"/>
      <c r="P25" s="65"/>
      <c r="Q25" s="64"/>
      <c r="R25" s="66"/>
      <c r="S25" s="68"/>
      <c r="T25" s="65"/>
      <c r="U25" s="64"/>
      <c r="V25" s="66"/>
      <c r="W25" s="68"/>
      <c r="X25" s="65"/>
      <c r="Y25" s="64"/>
      <c r="Z25" s="66"/>
      <c r="AA25" s="68"/>
      <c r="AB25" s="65"/>
      <c r="AC25" s="64"/>
      <c r="AD25" s="66"/>
      <c r="AE25" s="64"/>
      <c r="AF25" s="66"/>
      <c r="AG25" s="68"/>
      <c r="AH25" s="65"/>
      <c r="AI25" s="64"/>
      <c r="AJ25" s="66"/>
      <c r="AK25" s="69"/>
      <c r="AL25" s="66"/>
      <c r="AM25" s="69"/>
      <c r="AN25" s="66"/>
      <c r="AO25" s="64"/>
      <c r="AP25" s="66"/>
      <c r="AQ25" s="68"/>
      <c r="AR25" s="65"/>
      <c r="AS25" s="64" t="s">
        <v>64</v>
      </c>
      <c r="AT25" s="66" t="s">
        <v>53</v>
      </c>
      <c r="AU25" s="90"/>
      <c r="AV25" s="64" t="s">
        <v>169</v>
      </c>
      <c r="AW25" s="91" t="s">
        <v>166</v>
      </c>
    </row>
    <row r="26" spans="1:49" s="7" customFormat="1" ht="33.75" customHeight="1">
      <c r="A26" s="8">
        <v>17</v>
      </c>
      <c r="B26" s="39" t="s">
        <v>203</v>
      </c>
      <c r="C26" s="9"/>
      <c r="D26" s="72"/>
      <c r="E26" s="73"/>
      <c r="F26" s="72"/>
      <c r="G26" s="74"/>
      <c r="H26" s="75"/>
      <c r="I26" s="107" t="s">
        <v>227</v>
      </c>
      <c r="J26" s="108" t="s">
        <v>228</v>
      </c>
      <c r="K26" s="72"/>
      <c r="L26" s="73"/>
      <c r="M26" s="72"/>
      <c r="N26" s="74"/>
      <c r="O26" s="76"/>
      <c r="P26" s="73"/>
      <c r="Q26" s="72"/>
      <c r="R26" s="74"/>
      <c r="S26" s="76"/>
      <c r="T26" s="73"/>
      <c r="U26" s="72"/>
      <c r="V26" s="74"/>
      <c r="W26" s="76"/>
      <c r="X26" s="73"/>
      <c r="Y26" s="72"/>
      <c r="Z26" s="74"/>
      <c r="AA26" s="76"/>
      <c r="AB26" s="73"/>
      <c r="AC26" s="72"/>
      <c r="AD26" s="74"/>
      <c r="AE26" s="72"/>
      <c r="AF26" s="74"/>
      <c r="AG26" s="76"/>
      <c r="AH26" s="73"/>
      <c r="AI26" s="72"/>
      <c r="AJ26" s="74"/>
      <c r="AK26" s="80"/>
      <c r="AL26" s="74"/>
      <c r="AM26" s="80"/>
      <c r="AN26" s="74"/>
      <c r="AO26" s="72"/>
      <c r="AP26" s="74"/>
      <c r="AQ26" s="76"/>
      <c r="AR26" s="73"/>
      <c r="AS26" s="72"/>
      <c r="AT26" s="74"/>
      <c r="AU26" s="75"/>
      <c r="AV26" s="72" t="s">
        <v>170</v>
      </c>
      <c r="AW26" s="79" t="s">
        <v>166</v>
      </c>
    </row>
    <row r="27" spans="1:49" s="7" customFormat="1" ht="33.75" customHeight="1">
      <c r="A27" s="8">
        <v>18</v>
      </c>
      <c r="B27" s="39" t="s">
        <v>153</v>
      </c>
      <c r="C27" s="9"/>
      <c r="D27" s="72"/>
      <c r="E27" s="73"/>
      <c r="F27" s="72"/>
      <c r="G27" s="74"/>
      <c r="H27" s="75"/>
      <c r="I27" s="72"/>
      <c r="J27" s="73"/>
      <c r="K27" s="72" t="s">
        <v>152</v>
      </c>
      <c r="L27" s="73" t="s">
        <v>146</v>
      </c>
      <c r="M27" s="72" t="s">
        <v>69</v>
      </c>
      <c r="N27" s="74" t="s">
        <v>70</v>
      </c>
      <c r="O27" s="76"/>
      <c r="P27" s="73"/>
      <c r="Q27" s="72"/>
      <c r="R27" s="74"/>
      <c r="S27" s="76"/>
      <c r="T27" s="73"/>
      <c r="U27" s="72"/>
      <c r="V27" s="74"/>
      <c r="W27" s="76"/>
      <c r="X27" s="73"/>
      <c r="Y27" s="72"/>
      <c r="Z27" s="74"/>
      <c r="AA27" s="76"/>
      <c r="AB27" s="73"/>
      <c r="AC27" s="72"/>
      <c r="AD27" s="74"/>
      <c r="AE27" s="72"/>
      <c r="AF27" s="74"/>
      <c r="AG27" s="76"/>
      <c r="AH27" s="73"/>
      <c r="AI27" s="72"/>
      <c r="AJ27" s="74"/>
      <c r="AK27" s="80"/>
      <c r="AL27" s="74"/>
      <c r="AM27" s="80"/>
      <c r="AN27" s="74"/>
      <c r="AO27" s="72"/>
      <c r="AP27" s="74"/>
      <c r="AQ27" s="76"/>
      <c r="AR27" s="73"/>
      <c r="AS27" s="72"/>
      <c r="AT27" s="74"/>
      <c r="AU27" s="75"/>
      <c r="AV27" s="72" t="s">
        <v>251</v>
      </c>
      <c r="AW27" s="79" t="s">
        <v>166</v>
      </c>
    </row>
    <row r="28" spans="1:49" s="7" customFormat="1" ht="33.75" customHeight="1">
      <c r="A28" s="8">
        <v>19</v>
      </c>
      <c r="B28" s="39" t="s">
        <v>204</v>
      </c>
      <c r="C28" s="9"/>
      <c r="D28" s="72"/>
      <c r="E28" s="73"/>
      <c r="F28" s="72"/>
      <c r="G28" s="74"/>
      <c r="H28" s="75"/>
      <c r="I28" s="72"/>
      <c r="J28" s="73"/>
      <c r="K28" s="107" t="s">
        <v>154</v>
      </c>
      <c r="L28" s="108" t="s">
        <v>155</v>
      </c>
      <c r="M28" s="72"/>
      <c r="N28" s="74"/>
      <c r="O28" s="76"/>
      <c r="P28" s="73"/>
      <c r="Q28" s="72"/>
      <c r="R28" s="74"/>
      <c r="S28" s="76"/>
      <c r="T28" s="109"/>
      <c r="U28" s="72"/>
      <c r="V28" s="74"/>
      <c r="W28" s="110" t="s">
        <v>156</v>
      </c>
      <c r="X28" s="108" t="s">
        <v>157</v>
      </c>
      <c r="Y28" s="72"/>
      <c r="Z28" s="74"/>
      <c r="AA28" s="76"/>
      <c r="AB28" s="73"/>
      <c r="AC28" s="72"/>
      <c r="AD28" s="74"/>
      <c r="AE28" s="72"/>
      <c r="AF28" s="74"/>
      <c r="AG28" s="76"/>
      <c r="AH28" s="73"/>
      <c r="AI28" s="72"/>
      <c r="AJ28" s="74"/>
      <c r="AK28" s="107" t="s">
        <v>252</v>
      </c>
      <c r="AL28" s="111" t="s">
        <v>253</v>
      </c>
      <c r="AM28" s="182"/>
      <c r="AN28" s="111"/>
      <c r="AO28" s="72"/>
      <c r="AP28" s="74"/>
      <c r="AQ28" s="76"/>
      <c r="AR28" s="73"/>
      <c r="AS28" s="72"/>
      <c r="AT28" s="74"/>
      <c r="AU28" s="75"/>
      <c r="AV28" s="72" t="s">
        <v>171</v>
      </c>
      <c r="AW28" s="79" t="s">
        <v>89</v>
      </c>
    </row>
    <row r="29" spans="1:49" s="7" customFormat="1" ht="33.75" customHeight="1" thickBot="1">
      <c r="A29" s="14">
        <v>20</v>
      </c>
      <c r="B29" s="49" t="s">
        <v>205</v>
      </c>
      <c r="C29" s="15"/>
      <c r="D29" s="94"/>
      <c r="E29" s="95"/>
      <c r="F29" s="94"/>
      <c r="G29" s="96"/>
      <c r="H29" s="97"/>
      <c r="I29" s="94"/>
      <c r="J29" s="95"/>
      <c r="K29" s="94"/>
      <c r="L29" s="95"/>
      <c r="M29" s="94"/>
      <c r="N29" s="96"/>
      <c r="O29" s="98"/>
      <c r="P29" s="95"/>
      <c r="Q29" s="94"/>
      <c r="R29" s="96"/>
      <c r="S29" s="94" t="s">
        <v>59</v>
      </c>
      <c r="T29" s="96" t="s">
        <v>53</v>
      </c>
      <c r="U29" s="94"/>
      <c r="V29" s="96"/>
      <c r="W29" s="98"/>
      <c r="X29" s="95"/>
      <c r="Y29" s="94"/>
      <c r="Z29" s="96"/>
      <c r="AA29" s="98"/>
      <c r="AB29" s="95"/>
      <c r="AC29" s="94"/>
      <c r="AD29" s="96"/>
      <c r="AE29" s="94"/>
      <c r="AF29" s="96"/>
      <c r="AG29" s="98" t="s">
        <v>77</v>
      </c>
      <c r="AH29" s="95" t="s">
        <v>53</v>
      </c>
      <c r="AI29" s="94"/>
      <c r="AJ29" s="96"/>
      <c r="AK29" s="99"/>
      <c r="AL29" s="96"/>
      <c r="AM29" s="99"/>
      <c r="AN29" s="96"/>
      <c r="AO29" s="94"/>
      <c r="AP29" s="96"/>
      <c r="AQ29" s="98"/>
      <c r="AR29" s="95"/>
      <c r="AS29" s="94"/>
      <c r="AT29" s="96"/>
      <c r="AU29" s="97"/>
      <c r="AV29" s="94" t="s">
        <v>172</v>
      </c>
      <c r="AW29" s="100" t="s">
        <v>89</v>
      </c>
    </row>
    <row r="30" spans="1:49" s="7" customFormat="1" ht="33.75" customHeight="1">
      <c r="A30" s="5">
        <v>21</v>
      </c>
      <c r="B30" s="46" t="s">
        <v>206</v>
      </c>
      <c r="C30" s="6"/>
      <c r="D30" s="125" t="s">
        <v>243</v>
      </c>
      <c r="E30" s="126" t="s">
        <v>228</v>
      </c>
      <c r="F30" s="70"/>
      <c r="G30" s="102"/>
      <c r="H30" s="67"/>
      <c r="I30" s="70"/>
      <c r="J30" s="101"/>
      <c r="K30" s="70"/>
      <c r="L30" s="101"/>
      <c r="M30" s="70"/>
      <c r="N30" s="102"/>
      <c r="O30" s="103"/>
      <c r="P30" s="101"/>
      <c r="Q30" s="70"/>
      <c r="R30" s="102"/>
      <c r="S30" s="103"/>
      <c r="T30" s="101"/>
      <c r="U30" s="70"/>
      <c r="V30" s="102"/>
      <c r="W30" s="103"/>
      <c r="X30" s="101"/>
      <c r="Y30" s="70"/>
      <c r="Z30" s="102"/>
      <c r="AA30" s="103"/>
      <c r="AB30" s="101"/>
      <c r="AC30" s="70"/>
      <c r="AD30" s="102"/>
      <c r="AE30" s="70"/>
      <c r="AF30" s="102"/>
      <c r="AG30" s="103"/>
      <c r="AH30" s="101"/>
      <c r="AI30" s="70"/>
      <c r="AJ30" s="102"/>
      <c r="AK30" s="104"/>
      <c r="AL30" s="102"/>
      <c r="AM30" s="104"/>
      <c r="AN30" s="102"/>
      <c r="AO30" s="70"/>
      <c r="AP30" s="102"/>
      <c r="AQ30" s="103"/>
      <c r="AR30" s="101"/>
      <c r="AS30" s="70"/>
      <c r="AT30" s="102"/>
      <c r="AU30" s="67"/>
      <c r="AV30" s="70" t="s">
        <v>173</v>
      </c>
      <c r="AW30" s="71" t="s">
        <v>89</v>
      </c>
    </row>
    <row r="31" spans="1:49" s="7" customFormat="1" ht="33.75" customHeight="1">
      <c r="A31" s="8">
        <v>22</v>
      </c>
      <c r="B31" s="39" t="s">
        <v>207</v>
      </c>
      <c r="C31" s="9"/>
      <c r="D31" s="72"/>
      <c r="E31" s="73"/>
      <c r="F31" s="72"/>
      <c r="G31" s="74"/>
      <c r="H31" s="75"/>
      <c r="I31" s="72" t="s">
        <v>134</v>
      </c>
      <c r="J31" s="73" t="s">
        <v>135</v>
      </c>
      <c r="K31" s="72"/>
      <c r="L31" s="73"/>
      <c r="M31" s="72"/>
      <c r="N31" s="74"/>
      <c r="O31" s="76"/>
      <c r="P31" s="73"/>
      <c r="Q31" s="72"/>
      <c r="R31" s="74"/>
      <c r="S31" s="76"/>
      <c r="T31" s="73"/>
      <c r="U31" s="72"/>
      <c r="V31" s="74"/>
      <c r="W31" s="76"/>
      <c r="X31" s="73"/>
      <c r="Y31" s="72"/>
      <c r="Z31" s="74"/>
      <c r="AA31" s="76"/>
      <c r="AB31" s="73"/>
      <c r="AC31" s="72"/>
      <c r="AD31" s="74"/>
      <c r="AE31" s="72"/>
      <c r="AF31" s="74"/>
      <c r="AG31" s="76"/>
      <c r="AH31" s="73"/>
      <c r="AI31" s="72"/>
      <c r="AJ31" s="74"/>
      <c r="AK31" s="80"/>
      <c r="AL31" s="74"/>
      <c r="AM31" s="80"/>
      <c r="AN31" s="74"/>
      <c r="AO31" s="72"/>
      <c r="AP31" s="74"/>
      <c r="AQ31" s="76"/>
      <c r="AR31" s="73"/>
      <c r="AS31" s="72"/>
      <c r="AT31" s="74"/>
      <c r="AU31" s="75"/>
      <c r="AV31" s="72" t="s">
        <v>173</v>
      </c>
      <c r="AW31" s="79" t="s">
        <v>89</v>
      </c>
    </row>
    <row r="32" spans="1:49" s="7" customFormat="1" ht="33.75" customHeight="1">
      <c r="A32" s="8">
        <v>23</v>
      </c>
      <c r="B32" s="39" t="s">
        <v>208</v>
      </c>
      <c r="C32" s="9"/>
      <c r="D32" s="72"/>
      <c r="E32" s="73"/>
      <c r="F32" s="72"/>
      <c r="G32" s="74"/>
      <c r="H32" s="75"/>
      <c r="I32" s="72"/>
      <c r="J32" s="73"/>
      <c r="K32" s="112">
        <v>2</v>
      </c>
      <c r="L32" s="113" t="s">
        <v>214</v>
      </c>
      <c r="M32" s="72"/>
      <c r="N32" s="74"/>
      <c r="O32" s="76"/>
      <c r="P32" s="73"/>
      <c r="Q32" s="72"/>
      <c r="R32" s="74"/>
      <c r="S32" s="76"/>
      <c r="T32" s="73"/>
      <c r="U32" s="72"/>
      <c r="V32" s="74"/>
      <c r="W32" s="76"/>
      <c r="X32" s="73"/>
      <c r="Y32" s="72"/>
      <c r="Z32" s="74"/>
      <c r="AA32" s="76"/>
      <c r="AB32" s="73"/>
      <c r="AC32" s="72" t="s">
        <v>136</v>
      </c>
      <c r="AD32" s="74" t="s">
        <v>133</v>
      </c>
      <c r="AE32" s="72"/>
      <c r="AF32" s="74"/>
      <c r="AG32" s="76"/>
      <c r="AH32" s="73"/>
      <c r="AI32" s="72"/>
      <c r="AJ32" s="74"/>
      <c r="AK32" s="80"/>
      <c r="AL32" s="74"/>
      <c r="AM32" s="80"/>
      <c r="AN32" s="74"/>
      <c r="AO32" s="72"/>
      <c r="AP32" s="74"/>
      <c r="AQ32" s="76"/>
      <c r="AR32" s="73"/>
      <c r="AS32" s="72"/>
      <c r="AT32" s="74"/>
      <c r="AU32" s="75"/>
      <c r="AV32" s="72" t="s">
        <v>254</v>
      </c>
      <c r="AW32" s="79" t="s">
        <v>89</v>
      </c>
    </row>
    <row r="33" spans="1:49" s="7" customFormat="1" ht="33.75" customHeight="1">
      <c r="A33" s="8">
        <v>24</v>
      </c>
      <c r="B33" s="39" t="s">
        <v>209</v>
      </c>
      <c r="C33" s="9"/>
      <c r="D33" s="72" t="s">
        <v>65</v>
      </c>
      <c r="E33" s="73" t="s">
        <v>66</v>
      </c>
      <c r="F33" s="72"/>
      <c r="G33" s="74"/>
      <c r="H33" s="75"/>
      <c r="I33" s="72"/>
      <c r="J33" s="73"/>
      <c r="K33" s="72" t="s">
        <v>150</v>
      </c>
      <c r="L33" s="73" t="s">
        <v>146</v>
      </c>
      <c r="M33" s="72"/>
      <c r="N33" s="74"/>
      <c r="O33" s="76"/>
      <c r="P33" s="73"/>
      <c r="Q33" s="72"/>
      <c r="R33" s="74"/>
      <c r="S33" s="76"/>
      <c r="T33" s="73"/>
      <c r="U33" s="72"/>
      <c r="V33" s="74"/>
      <c r="W33" s="76"/>
      <c r="X33" s="73"/>
      <c r="Y33" s="72"/>
      <c r="Z33" s="114"/>
      <c r="AA33" s="76"/>
      <c r="AB33" s="73"/>
      <c r="AC33" s="72"/>
      <c r="AD33" s="74"/>
      <c r="AE33" s="72"/>
      <c r="AF33" s="74"/>
      <c r="AG33" s="76"/>
      <c r="AH33" s="73"/>
      <c r="AI33" s="72"/>
      <c r="AJ33" s="74"/>
      <c r="AK33" s="80"/>
      <c r="AL33" s="74"/>
      <c r="AM33" s="80"/>
      <c r="AN33" s="74"/>
      <c r="AO33" s="72"/>
      <c r="AP33" s="74"/>
      <c r="AQ33" s="76"/>
      <c r="AR33" s="73"/>
      <c r="AS33" s="72"/>
      <c r="AT33" s="74"/>
      <c r="AU33" s="75"/>
      <c r="AV33" s="72" t="s">
        <v>255</v>
      </c>
      <c r="AW33" s="79" t="s">
        <v>89</v>
      </c>
    </row>
    <row r="34" spans="1:49" s="7" customFormat="1" ht="33.75" customHeight="1" thickBot="1">
      <c r="A34" s="10">
        <v>25</v>
      </c>
      <c r="B34" s="47" t="s">
        <v>222</v>
      </c>
      <c r="C34" s="11"/>
      <c r="D34" s="83" t="s">
        <v>80</v>
      </c>
      <c r="E34" s="84" t="s">
        <v>53</v>
      </c>
      <c r="F34" s="83" t="s">
        <v>223</v>
      </c>
      <c r="G34" s="85" t="s">
        <v>214</v>
      </c>
      <c r="H34" s="86"/>
      <c r="I34" s="83"/>
      <c r="J34" s="84"/>
      <c r="K34" s="83"/>
      <c r="L34" s="84"/>
      <c r="M34" s="83"/>
      <c r="N34" s="85"/>
      <c r="O34" s="87"/>
      <c r="P34" s="84"/>
      <c r="Q34" s="83"/>
      <c r="R34" s="85"/>
      <c r="S34" s="87"/>
      <c r="T34" s="84"/>
      <c r="U34" s="83"/>
      <c r="V34" s="85"/>
      <c r="W34" s="87"/>
      <c r="X34" s="84"/>
      <c r="Y34" s="83"/>
      <c r="Z34" s="85"/>
      <c r="AA34" s="87"/>
      <c r="AB34" s="84"/>
      <c r="AC34" s="83"/>
      <c r="AD34" s="85"/>
      <c r="AE34" s="83"/>
      <c r="AF34" s="85"/>
      <c r="AG34" s="87"/>
      <c r="AH34" s="84"/>
      <c r="AI34" s="83"/>
      <c r="AJ34" s="85"/>
      <c r="AK34" s="88"/>
      <c r="AL34" s="85"/>
      <c r="AM34" s="83" t="s">
        <v>256</v>
      </c>
      <c r="AN34" s="85" t="s">
        <v>240</v>
      </c>
      <c r="AO34" s="83"/>
      <c r="AP34" s="85"/>
      <c r="AQ34" s="87"/>
      <c r="AR34" s="84"/>
      <c r="AS34" s="83"/>
      <c r="AT34" s="85"/>
      <c r="AU34" s="86"/>
      <c r="AV34" s="83" t="s">
        <v>174</v>
      </c>
      <c r="AW34" s="89" t="s">
        <v>89</v>
      </c>
    </row>
    <row r="35" spans="1:49" s="7" customFormat="1" ht="33.75" customHeight="1">
      <c r="A35" s="12">
        <v>26</v>
      </c>
      <c r="B35" s="48" t="s">
        <v>210</v>
      </c>
      <c r="C35" s="13"/>
      <c r="D35" s="64"/>
      <c r="E35" s="65"/>
      <c r="F35" s="64"/>
      <c r="G35" s="66"/>
      <c r="H35" s="90"/>
      <c r="I35" s="64"/>
      <c r="J35" s="65"/>
      <c r="K35" s="64"/>
      <c r="L35" s="65"/>
      <c r="M35" s="64"/>
      <c r="N35" s="66"/>
      <c r="O35" s="68"/>
      <c r="P35" s="65"/>
      <c r="Q35" s="64"/>
      <c r="R35" s="66"/>
      <c r="S35" s="68"/>
      <c r="T35" s="65"/>
      <c r="U35" s="64"/>
      <c r="V35" s="66"/>
      <c r="W35" s="68"/>
      <c r="X35" s="65"/>
      <c r="Y35" s="64"/>
      <c r="Z35" s="66"/>
      <c r="AA35" s="68"/>
      <c r="AB35" s="65"/>
      <c r="AC35" s="64"/>
      <c r="AD35" s="66"/>
      <c r="AE35" s="64"/>
      <c r="AF35" s="66"/>
      <c r="AG35" s="68"/>
      <c r="AH35" s="65"/>
      <c r="AI35" s="64"/>
      <c r="AJ35" s="66"/>
      <c r="AK35" s="69"/>
      <c r="AL35" s="66"/>
      <c r="AM35" s="69"/>
      <c r="AN35" s="66"/>
      <c r="AO35" s="64"/>
      <c r="AP35" s="66"/>
      <c r="AQ35" s="68"/>
      <c r="AR35" s="65"/>
      <c r="AS35" s="64" t="s">
        <v>58</v>
      </c>
      <c r="AT35" s="66" t="s">
        <v>53</v>
      </c>
      <c r="AU35" s="90"/>
      <c r="AV35" s="64" t="s">
        <v>175</v>
      </c>
      <c r="AW35" s="91" t="s">
        <v>89</v>
      </c>
    </row>
    <row r="36" spans="1:49" s="7" customFormat="1" ht="33.75" customHeight="1">
      <c r="A36" s="8">
        <v>27</v>
      </c>
      <c r="B36" s="39" t="s">
        <v>93</v>
      </c>
      <c r="C36" s="9"/>
      <c r="D36" s="72"/>
      <c r="E36" s="73"/>
      <c r="F36" s="72"/>
      <c r="G36" s="74"/>
      <c r="H36" s="75"/>
      <c r="I36" s="72"/>
      <c r="J36" s="73"/>
      <c r="K36" s="72"/>
      <c r="L36" s="73"/>
      <c r="M36" s="72"/>
      <c r="N36" s="74"/>
      <c r="O36" s="76"/>
      <c r="P36" s="73"/>
      <c r="Q36" s="72" t="s">
        <v>69</v>
      </c>
      <c r="R36" s="74" t="s">
        <v>72</v>
      </c>
      <c r="S36" s="76"/>
      <c r="T36" s="73"/>
      <c r="U36" s="72"/>
      <c r="V36" s="74"/>
      <c r="W36" s="76"/>
      <c r="X36" s="73"/>
      <c r="Y36" s="72"/>
      <c r="Z36" s="74"/>
      <c r="AA36" s="76"/>
      <c r="AB36" s="73"/>
      <c r="AC36" s="72"/>
      <c r="AD36" s="74"/>
      <c r="AE36" s="72"/>
      <c r="AF36" s="74"/>
      <c r="AG36" s="76"/>
      <c r="AH36" s="73"/>
      <c r="AI36" s="72"/>
      <c r="AJ36" s="74"/>
      <c r="AK36" s="80"/>
      <c r="AL36" s="74"/>
      <c r="AM36" s="80"/>
      <c r="AN36" s="74"/>
      <c r="AO36" s="72"/>
      <c r="AP36" s="74"/>
      <c r="AQ36" s="76"/>
      <c r="AR36" s="73"/>
      <c r="AS36" s="72" t="s">
        <v>79</v>
      </c>
      <c r="AT36" s="74" t="s">
        <v>53</v>
      </c>
      <c r="AU36" s="75"/>
      <c r="AV36" s="72" t="s">
        <v>257</v>
      </c>
      <c r="AW36" s="79" t="s">
        <v>89</v>
      </c>
    </row>
    <row r="37" spans="1:49" s="7" customFormat="1" ht="33.75" customHeight="1">
      <c r="A37" s="8">
        <v>28</v>
      </c>
      <c r="B37" s="39" t="s">
        <v>226</v>
      </c>
      <c r="C37" s="9"/>
      <c r="D37" s="115" t="s">
        <v>241</v>
      </c>
      <c r="E37" s="116" t="s">
        <v>242</v>
      </c>
      <c r="F37" s="72"/>
      <c r="G37" s="74"/>
      <c r="H37" s="75"/>
      <c r="I37" s="72"/>
      <c r="J37" s="73"/>
      <c r="K37" s="72"/>
      <c r="L37" s="73"/>
      <c r="M37" s="72"/>
      <c r="N37" s="74"/>
      <c r="O37" s="76"/>
      <c r="P37" s="73"/>
      <c r="Q37" s="72"/>
      <c r="R37" s="74"/>
      <c r="S37" s="76"/>
      <c r="T37" s="73"/>
      <c r="U37" s="72"/>
      <c r="V37" s="74"/>
      <c r="W37" s="76"/>
      <c r="X37" s="73"/>
      <c r="Y37" s="72"/>
      <c r="Z37" s="74"/>
      <c r="AA37" s="76"/>
      <c r="AB37" s="73"/>
      <c r="AC37" s="72"/>
      <c r="AD37" s="74"/>
      <c r="AE37" s="72"/>
      <c r="AF37" s="74"/>
      <c r="AG37" s="76"/>
      <c r="AH37" s="73"/>
      <c r="AI37" s="72" t="s">
        <v>148</v>
      </c>
      <c r="AJ37" s="74" t="s">
        <v>70</v>
      </c>
      <c r="AK37" s="72" t="s">
        <v>213</v>
      </c>
      <c r="AL37" s="74" t="s">
        <v>214</v>
      </c>
      <c r="AM37" s="80"/>
      <c r="AN37" s="74"/>
      <c r="AO37" s="72"/>
      <c r="AP37" s="74"/>
      <c r="AQ37" s="76"/>
      <c r="AR37" s="73"/>
      <c r="AS37" s="72" t="s">
        <v>149</v>
      </c>
      <c r="AT37" s="74" t="s">
        <v>66</v>
      </c>
      <c r="AU37" s="75"/>
      <c r="AV37" s="72" t="s">
        <v>257</v>
      </c>
      <c r="AW37" s="79" t="s">
        <v>89</v>
      </c>
    </row>
    <row r="38" spans="1:49" s="7" customFormat="1" ht="33.75" customHeight="1">
      <c r="A38" s="8">
        <v>29</v>
      </c>
      <c r="B38" s="39" t="s">
        <v>211</v>
      </c>
      <c r="C38" s="9"/>
      <c r="D38" s="72" t="s">
        <v>67</v>
      </c>
      <c r="E38" s="73" t="s">
        <v>66</v>
      </c>
      <c r="F38" s="72"/>
      <c r="G38" s="74"/>
      <c r="H38" s="75"/>
      <c r="I38" s="72"/>
      <c r="J38" s="73"/>
      <c r="K38" s="72"/>
      <c r="L38" s="73"/>
      <c r="M38" s="72"/>
      <c r="N38" s="74"/>
      <c r="O38" s="76"/>
      <c r="P38" s="73"/>
      <c r="Q38" s="72"/>
      <c r="R38" s="74"/>
      <c r="S38" s="76"/>
      <c r="T38" s="73"/>
      <c r="U38" s="72"/>
      <c r="V38" s="74"/>
      <c r="W38" s="76"/>
      <c r="X38" s="73"/>
      <c r="Y38" s="72"/>
      <c r="Z38" s="74"/>
      <c r="AA38" s="76"/>
      <c r="AB38" s="73"/>
      <c r="AC38" s="72"/>
      <c r="AD38" s="74"/>
      <c r="AE38" s="72"/>
      <c r="AF38" s="74"/>
      <c r="AG38" s="76"/>
      <c r="AH38" s="73"/>
      <c r="AI38" s="72"/>
      <c r="AJ38" s="74"/>
      <c r="AK38" s="80"/>
      <c r="AL38" s="74"/>
      <c r="AM38" s="80"/>
      <c r="AN38" s="74"/>
      <c r="AO38" s="72"/>
      <c r="AP38" s="74"/>
      <c r="AQ38" s="76"/>
      <c r="AR38" s="117" t="s">
        <v>151</v>
      </c>
      <c r="AS38" s="72"/>
      <c r="AT38" s="74"/>
      <c r="AU38" s="75"/>
      <c r="AV38" s="72" t="s">
        <v>257</v>
      </c>
      <c r="AW38" s="79" t="s">
        <v>89</v>
      </c>
    </row>
    <row r="39" spans="1:49" s="7" customFormat="1" ht="33.75" customHeight="1" thickBot="1">
      <c r="A39" s="14">
        <v>30</v>
      </c>
      <c r="B39" s="49" t="s">
        <v>298</v>
      </c>
      <c r="C39" s="15"/>
      <c r="D39" s="94"/>
      <c r="E39" s="95"/>
      <c r="F39" s="94"/>
      <c r="G39" s="96"/>
      <c r="H39" s="97"/>
      <c r="I39" s="94"/>
      <c r="J39" s="95"/>
      <c r="K39" s="94"/>
      <c r="L39" s="95"/>
      <c r="M39" s="94"/>
      <c r="N39" s="96"/>
      <c r="O39" s="98"/>
      <c r="P39" s="95"/>
      <c r="Q39" s="94"/>
      <c r="R39" s="96"/>
      <c r="S39" s="98"/>
      <c r="T39" s="95"/>
      <c r="U39" s="94"/>
      <c r="V39" s="96"/>
      <c r="W39" s="98"/>
      <c r="X39" s="95"/>
      <c r="Y39" s="94"/>
      <c r="Z39" s="96"/>
      <c r="AA39" s="98"/>
      <c r="AB39" s="95"/>
      <c r="AC39" s="94"/>
      <c r="AD39" s="96"/>
      <c r="AE39" s="94"/>
      <c r="AF39" s="96"/>
      <c r="AG39" s="98"/>
      <c r="AH39" s="95"/>
      <c r="AI39" s="94"/>
      <c r="AJ39" s="96"/>
      <c r="AK39" s="99"/>
      <c r="AL39" s="96"/>
      <c r="AM39" s="99"/>
      <c r="AN39" s="96"/>
      <c r="AO39" s="94" t="s">
        <v>78</v>
      </c>
      <c r="AP39" s="96" t="s">
        <v>53</v>
      </c>
      <c r="AQ39" s="98"/>
      <c r="AR39" s="95"/>
      <c r="AS39" s="94"/>
      <c r="AT39" s="96"/>
      <c r="AU39" s="97"/>
      <c r="AV39" s="94" t="s">
        <v>176</v>
      </c>
      <c r="AW39" s="100" t="s">
        <v>89</v>
      </c>
    </row>
    <row r="40" spans="1:49" s="7" customFormat="1" ht="33.75" customHeight="1">
      <c r="A40" s="5">
        <v>31</v>
      </c>
      <c r="B40" s="46" t="s">
        <v>319</v>
      </c>
      <c r="C40" s="6"/>
      <c r="D40" s="70"/>
      <c r="E40" s="101"/>
      <c r="F40" s="70"/>
      <c r="G40" s="102"/>
      <c r="H40" s="67"/>
      <c r="I40" s="70"/>
      <c r="J40" s="101"/>
      <c r="K40" s="70"/>
      <c r="L40" s="101"/>
      <c r="M40" s="70"/>
      <c r="N40" s="102"/>
      <c r="O40" s="103"/>
      <c r="P40" s="101"/>
      <c r="Q40" s="70"/>
      <c r="R40" s="102"/>
      <c r="S40" s="103"/>
      <c r="T40" s="101"/>
      <c r="U40" s="70"/>
      <c r="V40" s="102"/>
      <c r="W40" s="103"/>
      <c r="X40" s="101"/>
      <c r="Y40" s="70"/>
      <c r="Z40" s="102"/>
      <c r="AA40" s="103"/>
      <c r="AB40" s="101"/>
      <c r="AC40" s="70"/>
      <c r="AD40" s="102"/>
      <c r="AE40" s="70"/>
      <c r="AF40" s="102"/>
      <c r="AG40" s="103"/>
      <c r="AH40" s="101"/>
      <c r="AI40" s="70"/>
      <c r="AJ40" s="102"/>
      <c r="AK40" s="104"/>
      <c r="AL40" s="102"/>
      <c r="AM40" s="104"/>
      <c r="AN40" s="102"/>
      <c r="AO40" s="70"/>
      <c r="AP40" s="102"/>
      <c r="AQ40" s="103" t="s">
        <v>78</v>
      </c>
      <c r="AR40" s="101" t="s">
        <v>53</v>
      </c>
      <c r="AS40" s="70"/>
      <c r="AT40" s="102"/>
      <c r="AU40" s="67"/>
      <c r="AV40" s="70" t="s">
        <v>262</v>
      </c>
      <c r="AW40" s="71" t="s">
        <v>89</v>
      </c>
    </row>
    <row r="41" spans="1:49" s="7" customFormat="1" ht="33.75" customHeight="1" thickBot="1">
      <c r="A41" s="16"/>
      <c r="B41" s="11"/>
      <c r="C41" s="11"/>
      <c r="D41" s="83"/>
      <c r="E41" s="84"/>
      <c r="F41" s="83"/>
      <c r="G41" s="85"/>
      <c r="H41" s="86"/>
      <c r="I41" s="83"/>
      <c r="J41" s="84"/>
      <c r="K41" s="83"/>
      <c r="L41" s="84"/>
      <c r="M41" s="83"/>
      <c r="N41" s="85"/>
      <c r="O41" s="87"/>
      <c r="P41" s="84"/>
      <c r="Q41" s="83"/>
      <c r="R41" s="85"/>
      <c r="S41" s="87"/>
      <c r="T41" s="84"/>
      <c r="U41" s="83"/>
      <c r="V41" s="85"/>
      <c r="W41" s="87"/>
      <c r="X41" s="84"/>
      <c r="Y41" s="83"/>
      <c r="Z41" s="85"/>
      <c r="AA41" s="87"/>
      <c r="AB41" s="84"/>
      <c r="AC41" s="83"/>
      <c r="AD41" s="85"/>
      <c r="AE41" s="83"/>
      <c r="AF41" s="85"/>
      <c r="AG41" s="87"/>
      <c r="AH41" s="84"/>
      <c r="AI41" s="83"/>
      <c r="AJ41" s="85"/>
      <c r="AK41" s="88"/>
      <c r="AL41" s="85"/>
      <c r="AM41" s="88"/>
      <c r="AN41" s="85"/>
      <c r="AO41" s="83"/>
      <c r="AP41" s="85"/>
      <c r="AQ41" s="87"/>
      <c r="AR41" s="84"/>
      <c r="AS41" s="83"/>
      <c r="AT41" s="85"/>
      <c r="AU41" s="86"/>
      <c r="AV41" s="83"/>
      <c r="AW41" s="89"/>
    </row>
    <row r="42" spans="1:49" s="42" customFormat="1" ht="33.75" customHeight="1" thickBot="1">
      <c r="A42" s="372" t="s">
        <v>52</v>
      </c>
      <c r="B42" s="373"/>
      <c r="C42" s="41"/>
      <c r="D42" s="185" t="s">
        <v>321</v>
      </c>
      <c r="E42" s="184" t="s">
        <v>320</v>
      </c>
      <c r="F42" s="118" t="s">
        <v>258</v>
      </c>
      <c r="G42" s="120" t="s">
        <v>55</v>
      </c>
      <c r="H42" s="121"/>
      <c r="I42" s="118" t="s">
        <v>94</v>
      </c>
      <c r="J42" s="119" t="s">
        <v>53</v>
      </c>
      <c r="K42" s="118" t="s">
        <v>259</v>
      </c>
      <c r="L42" s="119" t="s">
        <v>53</v>
      </c>
      <c r="M42" s="118" t="s">
        <v>260</v>
      </c>
      <c r="N42" s="120" t="s">
        <v>53</v>
      </c>
      <c r="O42" s="122" t="s">
        <v>56</v>
      </c>
      <c r="P42" s="119" t="s">
        <v>53</v>
      </c>
      <c r="Q42" s="118" t="s">
        <v>78</v>
      </c>
      <c r="R42" s="120" t="s">
        <v>64</v>
      </c>
      <c r="S42" s="122" t="s">
        <v>59</v>
      </c>
      <c r="T42" s="119" t="s">
        <v>53</v>
      </c>
      <c r="U42" s="118" t="s">
        <v>161</v>
      </c>
      <c r="V42" s="120" t="s">
        <v>166</v>
      </c>
      <c r="W42" s="122" t="s">
        <v>162</v>
      </c>
      <c r="X42" s="119" t="s">
        <v>55</v>
      </c>
      <c r="Y42" s="118" t="s">
        <v>219</v>
      </c>
      <c r="Z42" s="123" t="s">
        <v>53</v>
      </c>
      <c r="AA42" s="122" t="s">
        <v>56</v>
      </c>
      <c r="AB42" s="119" t="s">
        <v>53</v>
      </c>
      <c r="AC42" s="118" t="s">
        <v>74</v>
      </c>
      <c r="AD42" s="120" t="s">
        <v>53</v>
      </c>
      <c r="AE42" s="118" t="s">
        <v>261</v>
      </c>
      <c r="AF42" s="120" t="s">
        <v>166</v>
      </c>
      <c r="AG42" s="122" t="s">
        <v>77</v>
      </c>
      <c r="AH42" s="119" t="s">
        <v>53</v>
      </c>
      <c r="AI42" s="118" t="s">
        <v>75</v>
      </c>
      <c r="AJ42" s="120" t="s">
        <v>76</v>
      </c>
      <c r="AK42" s="118" t="s">
        <v>263</v>
      </c>
      <c r="AL42" s="120" t="s">
        <v>91</v>
      </c>
      <c r="AM42" s="118" t="s">
        <v>256</v>
      </c>
      <c r="AN42" s="120" t="s">
        <v>240</v>
      </c>
      <c r="AO42" s="118" t="s">
        <v>78</v>
      </c>
      <c r="AP42" s="120" t="s">
        <v>53</v>
      </c>
      <c r="AQ42" s="122" t="s">
        <v>78</v>
      </c>
      <c r="AR42" s="119" t="s">
        <v>147</v>
      </c>
      <c r="AS42" s="118" t="s">
        <v>95</v>
      </c>
      <c r="AT42" s="120" t="s">
        <v>53</v>
      </c>
      <c r="AU42" s="121"/>
      <c r="AV42" s="118"/>
      <c r="AW42" s="124"/>
    </row>
    <row r="43" spans="1:49" s="50" customFormat="1" ht="33.75" customHeight="1">
      <c r="B43" s="50" t="s">
        <v>212</v>
      </c>
      <c r="E43" s="51"/>
      <c r="F43" s="51" t="s">
        <v>264</v>
      </c>
      <c r="J43" s="51"/>
      <c r="L43" s="51"/>
      <c r="N43" s="51"/>
      <c r="P43" s="51"/>
      <c r="R43" s="51"/>
      <c r="T43" s="51"/>
      <c r="V43" s="51"/>
      <c r="X43" s="51"/>
      <c r="Z43" s="51"/>
      <c r="AB43" s="51"/>
      <c r="AD43" s="51"/>
      <c r="AH43" s="51"/>
      <c r="AJ43" s="51"/>
      <c r="AK43" s="51"/>
      <c r="AL43" s="51"/>
      <c r="AM43" s="51"/>
      <c r="AN43" s="51"/>
      <c r="AP43" s="51"/>
      <c r="AR43" s="51"/>
      <c r="AT43" s="51"/>
      <c r="AW43" s="51"/>
    </row>
  </sheetData>
  <mergeCells count="54">
    <mergeCell ref="AV7:AV9"/>
    <mergeCell ref="AU2:AU3"/>
    <mergeCell ref="U8:V9"/>
    <mergeCell ref="AS7:AT8"/>
    <mergeCell ref="AM6:AN9"/>
    <mergeCell ref="AU7:AU9"/>
    <mergeCell ref="AU4:AU6"/>
    <mergeCell ref="AI8:AJ9"/>
    <mergeCell ref="AV2:AW3"/>
    <mergeCell ref="AV4:AW6"/>
    <mergeCell ref="I5:AT5"/>
    <mergeCell ref="U6:V7"/>
    <mergeCell ref="W6:X7"/>
    <mergeCell ref="Y6:Z9"/>
    <mergeCell ref="AI6:AJ7"/>
    <mergeCell ref="Q6:R9"/>
    <mergeCell ref="AE6:AF9"/>
    <mergeCell ref="D6:E6"/>
    <mergeCell ref="F6:G7"/>
    <mergeCell ref="I6:J6"/>
    <mergeCell ref="M6:N7"/>
    <mergeCell ref="O6:P7"/>
    <mergeCell ref="D5:G5"/>
    <mergeCell ref="S6:T7"/>
    <mergeCell ref="AW7:AW9"/>
    <mergeCell ref="F8:G9"/>
    <mergeCell ref="M8:N9"/>
    <mergeCell ref="O8:P9"/>
    <mergeCell ref="AO6:AP9"/>
    <mergeCell ref="AQ6:AR9"/>
    <mergeCell ref="AS6:AT6"/>
    <mergeCell ref="AK6:AL9"/>
    <mergeCell ref="I9:J9"/>
    <mergeCell ref="AS9:AT9"/>
    <mergeCell ref="H6:H9"/>
    <mergeCell ref="W8:X9"/>
    <mergeCell ref="S8:T9"/>
    <mergeCell ref="AA6:AB9"/>
    <mergeCell ref="I2:AT4"/>
    <mergeCell ref="AG6:AH9"/>
    <mergeCell ref="D9:E9"/>
    <mergeCell ref="K6:L9"/>
    <mergeCell ref="A42:B42"/>
    <mergeCell ref="AC8:AD9"/>
    <mergeCell ref="A2:A9"/>
    <mergeCell ref="B2:B4"/>
    <mergeCell ref="C2:C4"/>
    <mergeCell ref="D2:G4"/>
    <mergeCell ref="H2:H4"/>
    <mergeCell ref="B6:B9"/>
    <mergeCell ref="C6:C9"/>
    <mergeCell ref="D7:E8"/>
    <mergeCell ref="I7:J8"/>
    <mergeCell ref="AC6:AD7"/>
  </mergeCells>
  <phoneticPr fontId="1"/>
  <pageMargins left="0.78740157480314965" right="0.31496062992125984" top="0.35433070866141736" bottom="0.35433070866141736" header="0.31496062992125984" footer="0.31496062992125984"/>
  <pageSetup paperSize="9" scale="41"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FF930-99A6-49E7-BBD7-5A9C86FA9AB7}">
  <dimension ref="A1:AC73"/>
  <sheetViews>
    <sheetView zoomScale="85" zoomScaleNormal="85" workbookViewId="0">
      <pane xSplit="4" ySplit="9" topLeftCell="U58" activePane="bottomRight" state="frozen"/>
      <selection pane="topRight" activeCell="E1" sqref="E1"/>
      <selection pane="bottomLeft" activeCell="A10" sqref="A10"/>
      <selection pane="bottomRight" activeCell="AF63" sqref="AF63"/>
    </sheetView>
  </sheetViews>
  <sheetFormatPr defaultRowHeight="18.75"/>
  <cols>
    <col min="1" max="1" width="3.625" customWidth="1"/>
    <col min="2" max="2" width="34.375" customWidth="1"/>
    <col min="3" max="3" width="0.375" customWidth="1"/>
    <col min="4" max="4" width="4.625" customWidth="1"/>
    <col min="5" max="7" width="10" customWidth="1"/>
    <col min="8" max="8" width="0.25" customWidth="1"/>
    <col min="9" max="22" width="10" customWidth="1"/>
    <col min="23" max="24" width="10" style="17" customWidth="1"/>
    <col min="25" max="27" width="10" customWidth="1"/>
    <col min="28" max="28" width="0.25" customWidth="1"/>
    <col min="29" max="29" width="14" customWidth="1"/>
  </cols>
  <sheetData>
    <row r="1" spans="1:29" ht="26.25" customHeight="1" thickBot="1">
      <c r="B1" s="4"/>
    </row>
    <row r="2" spans="1:29" ht="15" customHeight="1">
      <c r="A2" s="377" t="s">
        <v>24</v>
      </c>
      <c r="B2" s="380" t="s">
        <v>327</v>
      </c>
      <c r="C2" s="383"/>
      <c r="D2" s="355" t="s">
        <v>189</v>
      </c>
      <c r="E2" s="356"/>
      <c r="F2" s="356"/>
      <c r="G2" s="356"/>
      <c r="H2" s="386"/>
      <c r="I2" s="355" t="s">
        <v>188</v>
      </c>
      <c r="J2" s="356"/>
      <c r="K2" s="356"/>
      <c r="L2" s="356"/>
      <c r="M2" s="356"/>
      <c r="N2" s="356"/>
      <c r="O2" s="356"/>
      <c r="P2" s="356"/>
      <c r="Q2" s="356"/>
      <c r="R2" s="356"/>
      <c r="S2" s="356"/>
      <c r="T2" s="356"/>
      <c r="U2" s="356"/>
      <c r="V2" s="356"/>
      <c r="W2" s="356"/>
      <c r="X2" s="356"/>
      <c r="Y2" s="356"/>
      <c r="Z2" s="356"/>
      <c r="AA2" s="356"/>
      <c r="AB2" s="424"/>
      <c r="AC2" s="445" t="s">
        <v>265</v>
      </c>
    </row>
    <row r="3" spans="1:29" ht="18.75" customHeight="1">
      <c r="A3" s="378"/>
      <c r="B3" s="381"/>
      <c r="C3" s="384"/>
      <c r="D3" s="358"/>
      <c r="E3" s="359"/>
      <c r="F3" s="359"/>
      <c r="G3" s="359"/>
      <c r="H3" s="387"/>
      <c r="I3" s="358"/>
      <c r="J3" s="359"/>
      <c r="K3" s="359"/>
      <c r="L3" s="359"/>
      <c r="M3" s="359"/>
      <c r="N3" s="359"/>
      <c r="O3" s="359"/>
      <c r="P3" s="359"/>
      <c r="Q3" s="359"/>
      <c r="R3" s="359"/>
      <c r="S3" s="359"/>
      <c r="T3" s="359"/>
      <c r="U3" s="359"/>
      <c r="V3" s="359"/>
      <c r="W3" s="359"/>
      <c r="X3" s="359"/>
      <c r="Y3" s="359"/>
      <c r="Z3" s="359"/>
      <c r="AA3" s="359"/>
      <c r="AB3" s="425"/>
      <c r="AC3" s="446"/>
    </row>
    <row r="4" spans="1:29" ht="11.25" customHeight="1">
      <c r="A4" s="378"/>
      <c r="B4" s="382"/>
      <c r="C4" s="385"/>
      <c r="D4" s="361"/>
      <c r="E4" s="362"/>
      <c r="F4" s="362"/>
      <c r="G4" s="362"/>
      <c r="H4" s="388"/>
      <c r="I4" s="361"/>
      <c r="J4" s="362"/>
      <c r="K4" s="362"/>
      <c r="L4" s="362"/>
      <c r="M4" s="362"/>
      <c r="N4" s="362"/>
      <c r="O4" s="362"/>
      <c r="P4" s="362"/>
      <c r="Q4" s="362"/>
      <c r="R4" s="362"/>
      <c r="S4" s="362"/>
      <c r="T4" s="362"/>
      <c r="U4" s="362"/>
      <c r="V4" s="362"/>
      <c r="W4" s="362"/>
      <c r="X4" s="362"/>
      <c r="Y4" s="362"/>
      <c r="Z4" s="362"/>
      <c r="AA4" s="362"/>
      <c r="AB4" s="434"/>
      <c r="AC4" s="447" t="s">
        <v>49</v>
      </c>
    </row>
    <row r="5" spans="1:29" ht="2.25" customHeight="1">
      <c r="A5" s="378"/>
      <c r="B5" s="38"/>
      <c r="C5" s="3"/>
      <c r="D5" s="204"/>
      <c r="E5" s="397"/>
      <c r="F5" s="398"/>
      <c r="G5" s="398"/>
      <c r="H5" s="3"/>
      <c r="I5" s="397"/>
      <c r="J5" s="398"/>
      <c r="K5" s="398"/>
      <c r="L5" s="398"/>
      <c r="M5" s="398"/>
      <c r="N5" s="398"/>
      <c r="O5" s="398"/>
      <c r="P5" s="398"/>
      <c r="Q5" s="398"/>
      <c r="R5" s="398"/>
      <c r="S5" s="398"/>
      <c r="T5" s="398"/>
      <c r="U5" s="398"/>
      <c r="V5" s="398"/>
      <c r="W5" s="398"/>
      <c r="X5" s="398"/>
      <c r="Y5" s="398"/>
      <c r="Z5" s="398"/>
      <c r="AA5" s="398"/>
      <c r="AB5" s="435"/>
      <c r="AC5" s="448"/>
    </row>
    <row r="6" spans="1:29" s="201" customFormat="1" ht="15" customHeight="1">
      <c r="A6" s="378"/>
      <c r="B6" s="389" t="s">
        <v>51</v>
      </c>
      <c r="C6" s="391"/>
      <c r="D6" s="391"/>
      <c r="E6" s="391" t="s">
        <v>26</v>
      </c>
      <c r="F6" s="391" t="str">
        <f>雑収入</f>
        <v>雑収入</v>
      </c>
      <c r="G6" s="444" t="s">
        <v>27</v>
      </c>
      <c r="H6" s="391"/>
      <c r="I6" s="199" t="s">
        <v>28</v>
      </c>
      <c r="J6" s="391" t="str">
        <f>租税公課</f>
        <v>租税公課</v>
      </c>
      <c r="K6" s="391" t="s">
        <v>101</v>
      </c>
      <c r="L6" s="391" t="s">
        <v>6</v>
      </c>
      <c r="M6" s="364" t="str">
        <f>通信費</f>
        <v>通信費</v>
      </c>
      <c r="N6" s="391" t="s">
        <v>8</v>
      </c>
      <c r="O6" s="391" t="s">
        <v>9</v>
      </c>
      <c r="P6" s="391" t="s">
        <v>10</v>
      </c>
      <c r="Q6" s="364" t="str">
        <f>修繕費</f>
        <v>修繕費</v>
      </c>
      <c r="R6" s="391" t="str">
        <f>消耗品費</f>
        <v>消耗品費</v>
      </c>
      <c r="S6" s="391" t="s">
        <v>97</v>
      </c>
      <c r="T6" s="391" t="str">
        <f>給料賃金</f>
        <v>給料賃金</v>
      </c>
      <c r="U6" s="391" t="str">
        <f>外注工賃</f>
        <v>外注工賃</v>
      </c>
      <c r="V6" s="391" t="s">
        <v>16</v>
      </c>
      <c r="W6" s="364" t="str">
        <f>車両費</f>
        <v>車両費</v>
      </c>
      <c r="X6" s="461" t="s">
        <v>17</v>
      </c>
      <c r="Y6" s="461" t="s">
        <v>19</v>
      </c>
      <c r="Z6" s="391" t="str">
        <f>雑費</f>
        <v>雑費</v>
      </c>
      <c r="AA6" s="200" t="s">
        <v>143</v>
      </c>
      <c r="AB6" s="425"/>
      <c r="AC6" s="446"/>
    </row>
    <row r="7" spans="1:29" s="201" customFormat="1" ht="7.5" customHeight="1">
      <c r="A7" s="378"/>
      <c r="B7" s="387"/>
      <c r="C7" s="392"/>
      <c r="D7" s="392"/>
      <c r="E7" s="392"/>
      <c r="F7" s="392"/>
      <c r="G7" s="426"/>
      <c r="H7" s="392"/>
      <c r="I7" s="366" t="s">
        <v>38</v>
      </c>
      <c r="J7" s="392"/>
      <c r="K7" s="392"/>
      <c r="L7" s="392"/>
      <c r="M7" s="366"/>
      <c r="N7" s="392"/>
      <c r="O7" s="392"/>
      <c r="P7" s="392"/>
      <c r="Q7" s="366"/>
      <c r="R7" s="392"/>
      <c r="S7" s="392"/>
      <c r="T7" s="392"/>
      <c r="U7" s="392"/>
      <c r="V7" s="392"/>
      <c r="W7" s="366"/>
      <c r="X7" s="462"/>
      <c r="Y7" s="462"/>
      <c r="Z7" s="392"/>
      <c r="AA7" s="426" t="s">
        <v>98</v>
      </c>
      <c r="AB7" s="391"/>
      <c r="AC7" s="457">
        <v>235200</v>
      </c>
    </row>
    <row r="8" spans="1:29" s="201" customFormat="1" ht="7.5" customHeight="1">
      <c r="A8" s="378"/>
      <c r="B8" s="387"/>
      <c r="C8" s="392"/>
      <c r="D8" s="392"/>
      <c r="E8" s="392" t="s">
        <v>36</v>
      </c>
      <c r="F8" s="392"/>
      <c r="G8" s="426" t="s">
        <v>37</v>
      </c>
      <c r="H8" s="392"/>
      <c r="I8" s="366"/>
      <c r="J8" s="392"/>
      <c r="K8" s="392"/>
      <c r="L8" s="392"/>
      <c r="M8" s="366"/>
      <c r="N8" s="392"/>
      <c r="O8" s="392"/>
      <c r="P8" s="392"/>
      <c r="Q8" s="366"/>
      <c r="R8" s="392"/>
      <c r="S8" s="392"/>
      <c r="T8" s="392"/>
      <c r="U8" s="392"/>
      <c r="V8" s="392"/>
      <c r="W8" s="366"/>
      <c r="X8" s="462"/>
      <c r="Y8" s="462"/>
      <c r="Z8" s="392"/>
      <c r="AA8" s="426"/>
      <c r="AB8" s="392"/>
      <c r="AC8" s="458"/>
    </row>
    <row r="9" spans="1:29" s="201" customFormat="1" ht="15" customHeight="1" thickBot="1">
      <c r="A9" s="379"/>
      <c r="B9" s="390"/>
      <c r="C9" s="393"/>
      <c r="D9" s="393"/>
      <c r="E9" s="393"/>
      <c r="F9" s="393"/>
      <c r="G9" s="416"/>
      <c r="H9" s="393"/>
      <c r="I9" s="202" t="s">
        <v>50</v>
      </c>
      <c r="J9" s="393"/>
      <c r="K9" s="393"/>
      <c r="L9" s="393"/>
      <c r="M9" s="368"/>
      <c r="N9" s="393"/>
      <c r="O9" s="393"/>
      <c r="P9" s="393"/>
      <c r="Q9" s="368"/>
      <c r="R9" s="393"/>
      <c r="S9" s="393"/>
      <c r="T9" s="393"/>
      <c r="U9" s="393"/>
      <c r="V9" s="393"/>
      <c r="W9" s="368"/>
      <c r="X9" s="463"/>
      <c r="Y9" s="463"/>
      <c r="Z9" s="393"/>
      <c r="AA9" s="203" t="s">
        <v>231</v>
      </c>
      <c r="AB9" s="392"/>
      <c r="AC9" s="458"/>
    </row>
    <row r="10" spans="1:29" s="7" customFormat="1" ht="33.75" customHeight="1">
      <c r="A10" s="455">
        <v>1</v>
      </c>
      <c r="B10" s="451" t="str">
        <f>VLOOKUP(A10,'記帳例 (手書き)'!$A$10:$B$41,2,FALSE)</f>
        <v>現金売上　○○組合費3月分</v>
      </c>
      <c r="C10" s="13"/>
      <c r="D10" s="273" t="s">
        <v>177</v>
      </c>
      <c r="E10" s="216"/>
      <c r="F10" s="217"/>
      <c r="G10" s="217"/>
      <c r="H10" s="218"/>
      <c r="I10" s="217"/>
      <c r="J10" s="218"/>
      <c r="K10" s="217"/>
      <c r="L10" s="218"/>
      <c r="M10" s="217"/>
      <c r="N10" s="218"/>
      <c r="O10" s="217"/>
      <c r="P10" s="218"/>
      <c r="Q10" s="217"/>
      <c r="R10" s="218"/>
      <c r="S10" s="217"/>
      <c r="T10" s="218"/>
      <c r="U10" s="217"/>
      <c r="V10" s="217"/>
      <c r="W10" s="217"/>
      <c r="X10" s="219"/>
      <c r="Y10" s="217"/>
      <c r="Z10" s="217"/>
      <c r="AA10" s="217"/>
      <c r="AB10" s="196"/>
      <c r="AC10" s="460">
        <f>SUM($E11:$G11)-SUM($I11:$AA11)+$AC$7</f>
        <v>252100</v>
      </c>
    </row>
    <row r="11" spans="1:29" s="7" customFormat="1" ht="33.75" customHeight="1" thickBot="1">
      <c r="A11" s="459"/>
      <c r="B11" s="452"/>
      <c r="C11" s="15"/>
      <c r="D11" s="274" t="s">
        <v>105</v>
      </c>
      <c r="E11" s="277">
        <v>18900</v>
      </c>
      <c r="F11" s="278"/>
      <c r="G11" s="278"/>
      <c r="H11" s="276"/>
      <c r="I11" s="278"/>
      <c r="J11" s="276">
        <v>2000</v>
      </c>
      <c r="K11" s="278"/>
      <c r="L11" s="276"/>
      <c r="M11" s="278"/>
      <c r="N11" s="276"/>
      <c r="O11" s="278"/>
      <c r="P11" s="276"/>
      <c r="Q11" s="278"/>
      <c r="R11" s="276"/>
      <c r="S11" s="278"/>
      <c r="T11" s="276"/>
      <c r="U11" s="278"/>
      <c r="V11" s="278"/>
      <c r="W11" s="278"/>
      <c r="X11" s="284"/>
      <c r="Y11" s="278"/>
      <c r="Z11" s="278"/>
      <c r="AA11" s="278"/>
      <c r="AB11" s="197"/>
      <c r="AC11" s="454"/>
    </row>
    <row r="12" spans="1:29" s="7" customFormat="1" ht="33.75" customHeight="1">
      <c r="A12" s="449">
        <v>2</v>
      </c>
      <c r="B12" s="451" t="str">
        <f>VLOOKUP(A12,'記帳例 (手書き)'!$A$10:$B$41,2,FALSE)</f>
        <v>売掛金入金（田中商店）・ガソリン代（エネオス）</v>
      </c>
      <c r="C12" s="13"/>
      <c r="D12" s="273" t="s">
        <v>177</v>
      </c>
      <c r="E12" s="216"/>
      <c r="F12" s="217"/>
      <c r="G12" s="217"/>
      <c r="H12" s="218"/>
      <c r="I12" s="218"/>
      <c r="J12" s="218"/>
      <c r="K12" s="218"/>
      <c r="L12" s="218"/>
      <c r="M12" s="218"/>
      <c r="N12" s="218"/>
      <c r="O12" s="218"/>
      <c r="P12" s="218"/>
      <c r="Q12" s="218"/>
      <c r="R12" s="218"/>
      <c r="S12" s="218"/>
      <c r="T12" s="218"/>
      <c r="U12" s="218"/>
      <c r="V12" s="218"/>
      <c r="W12" s="218"/>
      <c r="X12" s="221"/>
      <c r="Y12" s="218"/>
      <c r="Z12" s="218"/>
      <c r="AA12" s="218"/>
      <c r="AB12" s="196"/>
      <c r="AC12" s="453">
        <f>SUM($E13:$G13)-SUM($I13:$AA13)+$AC10</f>
        <v>371300</v>
      </c>
    </row>
    <row r="13" spans="1:29" s="7" customFormat="1" ht="33.75" customHeight="1" thickBot="1">
      <c r="A13" s="450"/>
      <c r="B13" s="452"/>
      <c r="C13" s="15"/>
      <c r="D13" s="274" t="s">
        <v>105</v>
      </c>
      <c r="E13" s="277">
        <v>120500</v>
      </c>
      <c r="F13" s="278"/>
      <c r="G13" s="278"/>
      <c r="H13" s="276"/>
      <c r="I13" s="276"/>
      <c r="J13" s="276"/>
      <c r="K13" s="276"/>
      <c r="L13" s="276"/>
      <c r="M13" s="276"/>
      <c r="N13" s="276"/>
      <c r="O13" s="276"/>
      <c r="P13" s="276"/>
      <c r="Q13" s="276"/>
      <c r="R13" s="276"/>
      <c r="S13" s="276"/>
      <c r="T13" s="276"/>
      <c r="U13" s="276"/>
      <c r="V13" s="276"/>
      <c r="W13" s="276">
        <v>1300</v>
      </c>
      <c r="X13" s="279"/>
      <c r="Y13" s="276"/>
      <c r="Z13" s="276"/>
      <c r="AA13" s="276"/>
      <c r="AB13" s="197"/>
      <c r="AC13" s="454"/>
    </row>
    <row r="14" spans="1:29" s="7" customFormat="1" ht="33.75" customHeight="1">
      <c r="A14" s="455">
        <v>3</v>
      </c>
      <c r="B14" s="451" t="str">
        <f>VLOOKUP(A14,'記帳例 (手書き)'!$A$10:$B$41,2,FALSE)</f>
        <v>銀行へ預金（東西銀行）</v>
      </c>
      <c r="C14" s="13"/>
      <c r="D14" s="273" t="s">
        <v>177</v>
      </c>
      <c r="E14" s="216"/>
      <c r="F14" s="217"/>
      <c r="G14" s="217"/>
      <c r="H14" s="218"/>
      <c r="I14" s="218"/>
      <c r="J14" s="218"/>
      <c r="K14" s="218"/>
      <c r="L14" s="218"/>
      <c r="M14" s="218"/>
      <c r="N14" s="218"/>
      <c r="O14" s="218"/>
      <c r="P14" s="218"/>
      <c r="Q14" s="218"/>
      <c r="R14" s="218"/>
      <c r="S14" s="218"/>
      <c r="T14" s="218"/>
      <c r="U14" s="218"/>
      <c r="V14" s="218"/>
      <c r="W14" s="218"/>
      <c r="X14" s="221"/>
      <c r="Y14" s="218"/>
      <c r="Z14" s="218"/>
      <c r="AA14" s="218"/>
      <c r="AB14" s="196"/>
      <c r="AC14" s="453">
        <f>SUM($E15:$G15)-SUM($I15:$AA15)+$AC12</f>
        <v>341300</v>
      </c>
    </row>
    <row r="15" spans="1:29" s="7" customFormat="1" ht="33.75" customHeight="1" thickBot="1">
      <c r="A15" s="456"/>
      <c r="B15" s="452"/>
      <c r="C15" s="15"/>
      <c r="D15" s="274" t="s">
        <v>105</v>
      </c>
      <c r="E15" s="277"/>
      <c r="F15" s="278"/>
      <c r="G15" s="278"/>
      <c r="H15" s="276"/>
      <c r="I15" s="276"/>
      <c r="J15" s="276"/>
      <c r="K15" s="276"/>
      <c r="L15" s="276"/>
      <c r="M15" s="276"/>
      <c r="N15" s="276"/>
      <c r="O15" s="276"/>
      <c r="P15" s="276"/>
      <c r="Q15" s="276"/>
      <c r="R15" s="276"/>
      <c r="S15" s="276"/>
      <c r="T15" s="276"/>
      <c r="U15" s="276"/>
      <c r="V15" s="276"/>
      <c r="W15" s="276"/>
      <c r="X15" s="279"/>
      <c r="Y15" s="276"/>
      <c r="Z15" s="276"/>
      <c r="AA15" s="276">
        <v>30000</v>
      </c>
      <c r="AB15" s="197"/>
      <c r="AC15" s="454"/>
    </row>
    <row r="16" spans="1:29" s="7" customFormat="1" ht="33.75" customHeight="1">
      <c r="A16" s="464">
        <v>4</v>
      </c>
      <c r="B16" s="451" t="str">
        <f>VLOOKUP(A16,'記帳例 (手書き)'!$A$10:$B$41,2,FALSE)</f>
        <v>現金仕入（南北商店）、備品保守料(星屑冷機)</v>
      </c>
      <c r="C16" s="13"/>
      <c r="D16" s="273" t="s">
        <v>177</v>
      </c>
      <c r="E16" s="216"/>
      <c r="F16" s="217"/>
      <c r="G16" s="217"/>
      <c r="H16" s="218"/>
      <c r="I16" s="218"/>
      <c r="J16" s="218"/>
      <c r="K16" s="218"/>
      <c r="L16" s="218"/>
      <c r="M16" s="218"/>
      <c r="N16" s="218"/>
      <c r="O16" s="218"/>
      <c r="P16" s="218"/>
      <c r="Q16" s="218">
        <v>12000</v>
      </c>
      <c r="R16" s="218"/>
      <c r="S16" s="218"/>
      <c r="T16" s="218"/>
      <c r="U16" s="218"/>
      <c r="V16" s="218"/>
      <c r="W16" s="218"/>
      <c r="X16" s="221"/>
      <c r="Y16" s="218"/>
      <c r="Z16" s="218"/>
      <c r="AA16" s="218"/>
      <c r="AB16" s="196"/>
      <c r="AC16" s="453">
        <f t="shared" ref="AC16" si="0">SUM($E17:$G17)-SUM($I17:$AA17)+$AC14</f>
        <v>331300</v>
      </c>
    </row>
    <row r="17" spans="1:29" s="7" customFormat="1" ht="33.75" customHeight="1" thickBot="1">
      <c r="A17" s="450"/>
      <c r="B17" s="452"/>
      <c r="C17" s="15"/>
      <c r="D17" s="274" t="s">
        <v>105</v>
      </c>
      <c r="E17" s="277"/>
      <c r="F17" s="278"/>
      <c r="G17" s="278"/>
      <c r="H17" s="276"/>
      <c r="I17" s="276">
        <v>10000</v>
      </c>
      <c r="J17" s="276"/>
      <c r="K17" s="276"/>
      <c r="L17" s="276"/>
      <c r="M17" s="276"/>
      <c r="N17" s="276"/>
      <c r="O17" s="276"/>
      <c r="P17" s="276"/>
      <c r="Q17" s="276"/>
      <c r="R17" s="276"/>
      <c r="S17" s="276"/>
      <c r="T17" s="276"/>
      <c r="U17" s="276"/>
      <c r="V17" s="276"/>
      <c r="W17" s="276"/>
      <c r="X17" s="279"/>
      <c r="Y17" s="276"/>
      <c r="Z17" s="276"/>
      <c r="AA17" s="276"/>
      <c r="AB17" s="197"/>
      <c r="AC17" s="454"/>
    </row>
    <row r="18" spans="1:29" s="7" customFormat="1" ht="33.75" customHeight="1">
      <c r="A18" s="455">
        <v>5</v>
      </c>
      <c r="B18" s="451" t="str">
        <f>VLOOKUP(A18,'記帳例 (手書き)'!$A$10:$B$41,2,FALSE)</f>
        <v>包装紙、事務用品代（上下事務用品店）</v>
      </c>
      <c r="C18" s="13"/>
      <c r="D18" s="273" t="s">
        <v>177</v>
      </c>
      <c r="E18" s="216"/>
      <c r="F18" s="217"/>
      <c r="G18" s="217"/>
      <c r="H18" s="218"/>
      <c r="I18" s="218"/>
      <c r="J18" s="218"/>
      <c r="K18" s="218"/>
      <c r="L18" s="218"/>
      <c r="M18" s="218"/>
      <c r="N18" s="218"/>
      <c r="O18" s="218"/>
      <c r="P18" s="218"/>
      <c r="Q18" s="218"/>
      <c r="R18" s="218"/>
      <c r="S18" s="218"/>
      <c r="T18" s="218"/>
      <c r="U18" s="218"/>
      <c r="V18" s="218"/>
      <c r="W18" s="218"/>
      <c r="X18" s="221"/>
      <c r="Y18" s="218"/>
      <c r="Z18" s="218"/>
      <c r="AA18" s="218"/>
      <c r="AB18" s="196"/>
      <c r="AC18" s="453">
        <f t="shared" ref="AC18" si="1">SUM($E19:$G19)-SUM($I19:$AA19)+$AC16</f>
        <v>330300</v>
      </c>
    </row>
    <row r="19" spans="1:29" s="7" customFormat="1" ht="33.75" customHeight="1" thickBot="1">
      <c r="A19" s="456"/>
      <c r="B19" s="452"/>
      <c r="C19" s="15"/>
      <c r="D19" s="274" t="s">
        <v>105</v>
      </c>
      <c r="E19" s="277"/>
      <c r="F19" s="278"/>
      <c r="G19" s="278"/>
      <c r="H19" s="276"/>
      <c r="I19" s="276"/>
      <c r="J19" s="276"/>
      <c r="K19" s="276"/>
      <c r="L19" s="276"/>
      <c r="M19" s="276"/>
      <c r="N19" s="276"/>
      <c r="O19" s="276"/>
      <c r="P19" s="276"/>
      <c r="Q19" s="276"/>
      <c r="R19" s="276">
        <v>1000</v>
      </c>
      <c r="S19" s="276"/>
      <c r="T19" s="276"/>
      <c r="U19" s="276"/>
      <c r="V19" s="276"/>
      <c r="W19" s="276"/>
      <c r="X19" s="279"/>
      <c r="Y19" s="276"/>
      <c r="Z19" s="276"/>
      <c r="AA19" s="276"/>
      <c r="AB19" s="197"/>
      <c r="AC19" s="454"/>
    </row>
    <row r="20" spans="1:29" s="7" customFormat="1" ht="33.75" customHeight="1">
      <c r="A20" s="464">
        <v>6</v>
      </c>
      <c r="B20" s="451" t="str">
        <f>VLOOKUP(A20,'記帳例 (手書き)'!$A$10:$B$41,2,FALSE)</f>
        <v>バス回数券（集金用）</v>
      </c>
      <c r="C20" s="13"/>
      <c r="D20" s="273" t="s">
        <v>177</v>
      </c>
      <c r="E20" s="216"/>
      <c r="F20" s="217"/>
      <c r="G20" s="217"/>
      <c r="H20" s="218"/>
      <c r="I20" s="218"/>
      <c r="J20" s="218"/>
      <c r="K20" s="218"/>
      <c r="L20" s="218"/>
      <c r="M20" s="218"/>
      <c r="N20" s="218"/>
      <c r="O20" s="218"/>
      <c r="P20" s="218"/>
      <c r="Q20" s="218"/>
      <c r="R20" s="218"/>
      <c r="S20" s="218"/>
      <c r="T20" s="218"/>
      <c r="U20" s="218"/>
      <c r="V20" s="218"/>
      <c r="W20" s="218"/>
      <c r="X20" s="221"/>
      <c r="Y20" s="218"/>
      <c r="Z20" s="218"/>
      <c r="AA20" s="218"/>
      <c r="AB20" s="196"/>
      <c r="AC20" s="453">
        <f t="shared" ref="AC20" si="2">SUM($E21:$G21)-SUM($I21:$AA21)+$AC18</f>
        <v>329300</v>
      </c>
    </row>
    <row r="21" spans="1:29" s="7" customFormat="1" ht="33.75" customHeight="1" thickBot="1">
      <c r="A21" s="450"/>
      <c r="B21" s="452"/>
      <c r="C21" s="15"/>
      <c r="D21" s="274" t="s">
        <v>105</v>
      </c>
      <c r="E21" s="277"/>
      <c r="F21" s="278"/>
      <c r="G21" s="278"/>
      <c r="H21" s="276"/>
      <c r="I21" s="276"/>
      <c r="J21" s="276"/>
      <c r="K21" s="276"/>
      <c r="L21" s="276">
        <v>1000</v>
      </c>
      <c r="M21" s="276"/>
      <c r="N21" s="276"/>
      <c r="O21" s="276"/>
      <c r="P21" s="276"/>
      <c r="Q21" s="276"/>
      <c r="R21" s="276"/>
      <c r="S21" s="276"/>
      <c r="T21" s="276"/>
      <c r="U21" s="276"/>
      <c r="V21" s="276"/>
      <c r="W21" s="276"/>
      <c r="X21" s="279"/>
      <c r="Y21" s="276"/>
      <c r="Z21" s="276"/>
      <c r="AA21" s="276"/>
      <c r="AB21" s="197"/>
      <c r="AC21" s="454"/>
    </row>
    <row r="22" spans="1:29" s="7" customFormat="1" ht="33.75" customHeight="1">
      <c r="A22" s="455">
        <v>7</v>
      </c>
      <c r="B22" s="451" t="str">
        <f>VLOOKUP(A22,'記帳例 (手書き)'!$A$10:$B$41,2,FALSE)</f>
        <v>車修理代（朝倉オート）</v>
      </c>
      <c r="C22" s="13"/>
      <c r="D22" s="273" t="s">
        <v>177</v>
      </c>
      <c r="E22" s="216"/>
      <c r="F22" s="217"/>
      <c r="G22" s="217"/>
      <c r="H22" s="218"/>
      <c r="I22" s="218"/>
      <c r="J22" s="218"/>
      <c r="K22" s="218"/>
      <c r="L22" s="218"/>
      <c r="M22" s="218"/>
      <c r="N22" s="218"/>
      <c r="O22" s="218"/>
      <c r="P22" s="218"/>
      <c r="Q22" s="218"/>
      <c r="R22" s="218"/>
      <c r="S22" s="218"/>
      <c r="T22" s="218"/>
      <c r="U22" s="218"/>
      <c r="V22" s="218"/>
      <c r="W22" s="218"/>
      <c r="X22" s="221"/>
      <c r="Y22" s="218"/>
      <c r="Z22" s="218"/>
      <c r="AA22" s="218"/>
      <c r="AB22" s="196"/>
      <c r="AC22" s="453">
        <f t="shared" ref="AC22" si="3">SUM($E23:$G23)-SUM($I23:$AA23)+$AC20</f>
        <v>326200</v>
      </c>
    </row>
    <row r="23" spans="1:29" s="7" customFormat="1" ht="33.75" customHeight="1" thickBot="1">
      <c r="A23" s="456"/>
      <c r="B23" s="452"/>
      <c r="C23" s="15"/>
      <c r="D23" s="274" t="s">
        <v>105</v>
      </c>
      <c r="E23" s="277"/>
      <c r="F23" s="278"/>
      <c r="G23" s="278"/>
      <c r="H23" s="276"/>
      <c r="I23" s="276"/>
      <c r="J23" s="276"/>
      <c r="K23" s="276"/>
      <c r="L23" s="276"/>
      <c r="M23" s="276"/>
      <c r="N23" s="276"/>
      <c r="O23" s="276"/>
      <c r="P23" s="276"/>
      <c r="Q23" s="276"/>
      <c r="R23" s="276"/>
      <c r="S23" s="276"/>
      <c r="T23" s="276"/>
      <c r="U23" s="276"/>
      <c r="V23" s="276"/>
      <c r="W23" s="276">
        <v>3100</v>
      </c>
      <c r="X23" s="279"/>
      <c r="Y23" s="276"/>
      <c r="Z23" s="276"/>
      <c r="AA23" s="276"/>
      <c r="AB23" s="197"/>
      <c r="AC23" s="454"/>
    </row>
    <row r="24" spans="1:29" s="7" customFormat="1" ht="33.75" customHeight="1">
      <c r="A24" s="464">
        <v>8</v>
      </c>
      <c r="B24" s="451" t="str">
        <f>VLOOKUP(A24,'記帳例 (手書き)'!$A$10:$B$41,2,FALSE)</f>
        <v>店舗火災保険（AB保険）</v>
      </c>
      <c r="C24" s="13"/>
      <c r="D24" s="273" t="s">
        <v>177</v>
      </c>
      <c r="E24" s="216"/>
      <c r="F24" s="217"/>
      <c r="G24" s="217"/>
      <c r="H24" s="218"/>
      <c r="I24" s="218"/>
      <c r="J24" s="218"/>
      <c r="K24" s="218"/>
      <c r="L24" s="218"/>
      <c r="M24" s="218"/>
      <c r="N24" s="218"/>
      <c r="O24" s="218"/>
      <c r="P24" s="218"/>
      <c r="Q24" s="218"/>
      <c r="R24" s="218"/>
      <c r="S24" s="218"/>
      <c r="T24" s="218"/>
      <c r="U24" s="218"/>
      <c r="V24" s="218"/>
      <c r="W24" s="218"/>
      <c r="X24" s="221"/>
      <c r="Y24" s="218"/>
      <c r="Z24" s="218"/>
      <c r="AA24" s="218"/>
      <c r="AB24" s="196"/>
      <c r="AC24" s="453">
        <f t="shared" ref="AC24" si="4">SUM($E25:$G25)-SUM($I25:$AA25)+$AC22</f>
        <v>324700</v>
      </c>
    </row>
    <row r="25" spans="1:29" s="7" customFormat="1" ht="33.75" customHeight="1" thickBot="1">
      <c r="A25" s="450"/>
      <c r="B25" s="452"/>
      <c r="C25" s="15"/>
      <c r="D25" s="274" t="s">
        <v>105</v>
      </c>
      <c r="E25" s="277"/>
      <c r="F25" s="278"/>
      <c r="G25" s="278"/>
      <c r="H25" s="276"/>
      <c r="I25" s="276"/>
      <c r="J25" s="276"/>
      <c r="K25" s="276"/>
      <c r="L25" s="276"/>
      <c r="M25" s="276"/>
      <c r="N25" s="276"/>
      <c r="O25" s="276"/>
      <c r="P25" s="276">
        <v>1500</v>
      </c>
      <c r="Q25" s="276"/>
      <c r="R25" s="276"/>
      <c r="S25" s="276"/>
      <c r="T25" s="276"/>
      <c r="U25" s="276"/>
      <c r="V25" s="276"/>
      <c r="W25" s="276"/>
      <c r="X25" s="279"/>
      <c r="Y25" s="276"/>
      <c r="Z25" s="276"/>
      <c r="AA25" s="276"/>
      <c r="AB25" s="197"/>
      <c r="AC25" s="454"/>
    </row>
    <row r="26" spans="1:29" s="7" customFormat="1" ht="33.75" customHeight="1">
      <c r="A26" s="455">
        <v>9</v>
      </c>
      <c r="B26" s="451" t="str">
        <f>VLOOKUP(A26,'記帳例 (手書き)'!$A$10:$B$41,2,FALSE)</f>
        <v>水道代（銀行引落）、組合交流会費（○○組合）</v>
      </c>
      <c r="C26" s="13"/>
      <c r="D26" s="273" t="s">
        <v>177</v>
      </c>
      <c r="E26" s="216"/>
      <c r="F26" s="217"/>
      <c r="G26" s="217"/>
      <c r="H26" s="218"/>
      <c r="I26" s="218"/>
      <c r="J26" s="218"/>
      <c r="K26" s="218">
        <v>1600</v>
      </c>
      <c r="L26" s="218"/>
      <c r="M26" s="218"/>
      <c r="N26" s="218"/>
      <c r="O26" s="218"/>
      <c r="P26" s="218"/>
      <c r="Q26" s="218"/>
      <c r="R26" s="218"/>
      <c r="S26" s="218"/>
      <c r="T26" s="218"/>
      <c r="U26" s="218"/>
      <c r="V26" s="218"/>
      <c r="W26" s="218"/>
      <c r="X26" s="221"/>
      <c r="Y26" s="218"/>
      <c r="Z26" s="218"/>
      <c r="AA26" s="218"/>
      <c r="AB26" s="196"/>
      <c r="AC26" s="453">
        <f t="shared" ref="AC26" si="5">SUM($E27:$G27)-SUM($I27:$AA27)+$AC24</f>
        <v>322100</v>
      </c>
    </row>
    <row r="27" spans="1:29" s="7" customFormat="1" ht="33.75" customHeight="1" thickBot="1">
      <c r="A27" s="456"/>
      <c r="B27" s="452"/>
      <c r="C27" s="15"/>
      <c r="D27" s="274" t="s">
        <v>105</v>
      </c>
      <c r="E27" s="277"/>
      <c r="F27" s="278"/>
      <c r="G27" s="278"/>
      <c r="H27" s="276"/>
      <c r="I27" s="276"/>
      <c r="J27" s="276"/>
      <c r="K27" s="276"/>
      <c r="L27" s="276"/>
      <c r="M27" s="276"/>
      <c r="N27" s="276"/>
      <c r="O27" s="276">
        <v>2600</v>
      </c>
      <c r="P27" s="276"/>
      <c r="Q27" s="276"/>
      <c r="R27" s="276"/>
      <c r="S27" s="276"/>
      <c r="T27" s="276"/>
      <c r="U27" s="276"/>
      <c r="V27" s="276"/>
      <c r="W27" s="276"/>
      <c r="X27" s="279"/>
      <c r="Y27" s="276"/>
      <c r="Z27" s="276"/>
      <c r="AA27" s="276"/>
      <c r="AB27" s="197"/>
      <c r="AC27" s="454"/>
    </row>
    <row r="28" spans="1:29" s="7" customFormat="1" ht="33.75" customHeight="1">
      <c r="A28" s="464">
        <v>10</v>
      </c>
      <c r="B28" s="451" t="str">
        <f>VLOOKUP(A28,'記帳例 (手書き)'!$A$10:$B$41,2,FALSE)</f>
        <v>得意先手土産（青井菓子店）</v>
      </c>
      <c r="C28" s="13"/>
      <c r="D28" s="273" t="s">
        <v>177</v>
      </c>
      <c r="E28" s="216"/>
      <c r="F28" s="217"/>
      <c r="G28" s="217"/>
      <c r="H28" s="218"/>
      <c r="I28" s="218"/>
      <c r="J28" s="218"/>
      <c r="K28" s="218"/>
      <c r="L28" s="218"/>
      <c r="M28" s="218"/>
      <c r="N28" s="218"/>
      <c r="O28" s="218"/>
      <c r="P28" s="218"/>
      <c r="Q28" s="218"/>
      <c r="R28" s="218"/>
      <c r="S28" s="218"/>
      <c r="T28" s="218"/>
      <c r="U28" s="218"/>
      <c r="V28" s="218"/>
      <c r="W28" s="218"/>
      <c r="X28" s="221"/>
      <c r="Y28" s="218"/>
      <c r="Z28" s="218"/>
      <c r="AA28" s="218"/>
      <c r="AB28" s="196"/>
      <c r="AC28" s="453">
        <f t="shared" ref="AC28" si="6">SUM($E29:$G29)-SUM($I29:$AA29)+$AC26</f>
        <v>322100</v>
      </c>
    </row>
    <row r="29" spans="1:29" s="7" customFormat="1" ht="33.75" customHeight="1" thickBot="1">
      <c r="A29" s="450"/>
      <c r="B29" s="452"/>
      <c r="C29" s="15"/>
      <c r="D29" s="274" t="s">
        <v>105</v>
      </c>
      <c r="E29" s="277"/>
      <c r="F29" s="278"/>
      <c r="G29" s="278"/>
      <c r="H29" s="276"/>
      <c r="I29" s="276"/>
      <c r="J29" s="276"/>
      <c r="K29" s="276"/>
      <c r="L29" s="276"/>
      <c r="M29" s="276"/>
      <c r="N29" s="276"/>
      <c r="O29" s="276"/>
      <c r="P29" s="276"/>
      <c r="Q29" s="276"/>
      <c r="R29" s="276"/>
      <c r="S29" s="276"/>
      <c r="T29" s="276"/>
      <c r="U29" s="276"/>
      <c r="V29" s="276"/>
      <c r="W29" s="276"/>
      <c r="X29" s="279"/>
      <c r="Y29" s="276"/>
      <c r="Z29" s="276"/>
      <c r="AA29" s="276"/>
      <c r="AB29" s="197"/>
      <c r="AC29" s="454"/>
    </row>
    <row r="30" spans="1:29" s="7" customFormat="1" ht="33.75" customHeight="1">
      <c r="A30" s="455">
        <v>11</v>
      </c>
      <c r="B30" s="451" t="str">
        <f>VLOOKUP(A30,'記帳例 (手書き)'!$A$10:$B$41,2,FALSE)</f>
        <v>預金引出(東西銀行)、源泉税納付</v>
      </c>
      <c r="C30" s="13"/>
      <c r="D30" s="273" t="s">
        <v>177</v>
      </c>
      <c r="E30" s="216"/>
      <c r="F30" s="217"/>
      <c r="G30" s="217"/>
      <c r="H30" s="218"/>
      <c r="I30" s="218"/>
      <c r="J30" s="218"/>
      <c r="K30" s="218"/>
      <c r="L30" s="218"/>
      <c r="M30" s="218"/>
      <c r="N30" s="218"/>
      <c r="O30" s="218"/>
      <c r="P30" s="218"/>
      <c r="Q30" s="218"/>
      <c r="R30" s="218"/>
      <c r="S30" s="218"/>
      <c r="T30" s="218"/>
      <c r="U30" s="218"/>
      <c r="V30" s="218"/>
      <c r="W30" s="218"/>
      <c r="X30" s="221"/>
      <c r="Y30" s="218"/>
      <c r="Z30" s="218"/>
      <c r="AA30" s="218"/>
      <c r="AB30" s="196"/>
      <c r="AC30" s="453">
        <f t="shared" ref="AC30" si="7">SUM($E31:$G31)-SUM($I31:$AA31)+$AC28</f>
        <v>422100</v>
      </c>
    </row>
    <row r="31" spans="1:29" s="7" customFormat="1" ht="33.75" customHeight="1" thickBot="1">
      <c r="A31" s="456"/>
      <c r="B31" s="452"/>
      <c r="C31" s="15"/>
      <c r="D31" s="274" t="s">
        <v>105</v>
      </c>
      <c r="E31" s="277"/>
      <c r="F31" s="278"/>
      <c r="G31" s="278">
        <v>120000</v>
      </c>
      <c r="H31" s="276"/>
      <c r="I31" s="276"/>
      <c r="J31" s="276"/>
      <c r="K31" s="276"/>
      <c r="L31" s="276"/>
      <c r="M31" s="276"/>
      <c r="N31" s="276"/>
      <c r="O31" s="276"/>
      <c r="P31" s="276"/>
      <c r="Q31" s="276"/>
      <c r="R31" s="276"/>
      <c r="S31" s="276"/>
      <c r="T31" s="276"/>
      <c r="U31" s="276"/>
      <c r="V31" s="276"/>
      <c r="W31" s="276"/>
      <c r="X31" s="279"/>
      <c r="Y31" s="276"/>
      <c r="Z31" s="276"/>
      <c r="AA31" s="276">
        <v>20000</v>
      </c>
      <c r="AB31" s="197"/>
      <c r="AC31" s="454"/>
    </row>
    <row r="32" spans="1:29" s="7" customFormat="1" ht="33.75" customHeight="1">
      <c r="A32" s="464">
        <v>12</v>
      </c>
      <c r="B32" s="451" t="str">
        <f>VLOOKUP(A32,'記帳例 (手書き)'!$A$10:$B$41,2,FALSE)</f>
        <v>売掛金振込（山田商店）</v>
      </c>
      <c r="C32" s="13"/>
      <c r="D32" s="273" t="s">
        <v>177</v>
      </c>
      <c r="E32" s="216">
        <v>40500</v>
      </c>
      <c r="F32" s="217"/>
      <c r="G32" s="217"/>
      <c r="H32" s="218"/>
      <c r="I32" s="218"/>
      <c r="J32" s="218"/>
      <c r="K32" s="218"/>
      <c r="L32" s="218"/>
      <c r="M32" s="218"/>
      <c r="N32" s="218"/>
      <c r="O32" s="218"/>
      <c r="P32" s="218"/>
      <c r="Q32" s="218"/>
      <c r="R32" s="218"/>
      <c r="S32" s="218"/>
      <c r="T32" s="218"/>
      <c r="U32" s="218"/>
      <c r="V32" s="218"/>
      <c r="W32" s="218"/>
      <c r="X32" s="221"/>
      <c r="Y32" s="218"/>
      <c r="Z32" s="218"/>
      <c r="AA32" s="218"/>
      <c r="AB32" s="196"/>
      <c r="AC32" s="453">
        <f t="shared" ref="AC32" si="8">SUM($E33:$G33)-SUM($I33:$AA33)+$AC30</f>
        <v>422100</v>
      </c>
    </row>
    <row r="33" spans="1:29" s="7" customFormat="1" ht="33.75" customHeight="1" thickBot="1">
      <c r="A33" s="450"/>
      <c r="B33" s="452"/>
      <c r="C33" s="15"/>
      <c r="D33" s="274" t="s">
        <v>105</v>
      </c>
      <c r="E33" s="277"/>
      <c r="F33" s="278"/>
      <c r="G33" s="278"/>
      <c r="H33" s="276"/>
      <c r="I33" s="276"/>
      <c r="J33" s="276"/>
      <c r="K33" s="276"/>
      <c r="L33" s="276"/>
      <c r="M33" s="276"/>
      <c r="N33" s="276"/>
      <c r="O33" s="276"/>
      <c r="P33" s="276"/>
      <c r="Q33" s="276"/>
      <c r="R33" s="276"/>
      <c r="S33" s="276"/>
      <c r="T33" s="276"/>
      <c r="U33" s="276"/>
      <c r="V33" s="276"/>
      <c r="W33" s="276"/>
      <c r="X33" s="279"/>
      <c r="Y33" s="276"/>
      <c r="Z33" s="276"/>
      <c r="AA33" s="276"/>
      <c r="AB33" s="197"/>
      <c r="AC33" s="454"/>
    </row>
    <row r="34" spans="1:29" s="7" customFormat="1" ht="33.75" customHeight="1">
      <c r="A34" s="455">
        <v>13</v>
      </c>
      <c r="B34" s="451" t="str">
        <f>VLOOKUP(A34,'記帳例 (手書き)'!$A$10:$B$41,2,FALSE)</f>
        <v>車輛任意保険（赤川保険）</v>
      </c>
      <c r="C34" s="13"/>
      <c r="D34" s="273" t="s">
        <v>177</v>
      </c>
      <c r="E34" s="216"/>
      <c r="F34" s="217"/>
      <c r="G34" s="217"/>
      <c r="H34" s="218"/>
      <c r="I34" s="218"/>
      <c r="J34" s="218"/>
      <c r="K34" s="218"/>
      <c r="L34" s="218"/>
      <c r="M34" s="218"/>
      <c r="N34" s="218"/>
      <c r="O34" s="218"/>
      <c r="P34" s="218"/>
      <c r="Q34" s="218"/>
      <c r="R34" s="218"/>
      <c r="S34" s="218"/>
      <c r="T34" s="218"/>
      <c r="U34" s="218"/>
      <c r="V34" s="218"/>
      <c r="W34" s="218"/>
      <c r="X34" s="221"/>
      <c r="Y34" s="218"/>
      <c r="Z34" s="218"/>
      <c r="AA34" s="218"/>
      <c r="AB34" s="196"/>
      <c r="AC34" s="453">
        <f>SUM($E35:$G35)-SUM($I35:$AA35)+$AC32</f>
        <v>397100</v>
      </c>
    </row>
    <row r="35" spans="1:29" s="7" customFormat="1" ht="33.75" customHeight="1" thickBot="1">
      <c r="A35" s="456"/>
      <c r="B35" s="452"/>
      <c r="C35" s="15"/>
      <c r="D35" s="274" t="s">
        <v>105</v>
      </c>
      <c r="E35" s="277"/>
      <c r="F35" s="278"/>
      <c r="G35" s="278"/>
      <c r="H35" s="276"/>
      <c r="I35" s="276"/>
      <c r="J35" s="276"/>
      <c r="K35" s="276"/>
      <c r="L35" s="276"/>
      <c r="M35" s="276"/>
      <c r="N35" s="276"/>
      <c r="O35" s="276"/>
      <c r="P35" s="276">
        <v>25000</v>
      </c>
      <c r="Q35" s="276"/>
      <c r="R35" s="276"/>
      <c r="S35" s="276"/>
      <c r="T35" s="276"/>
      <c r="U35" s="276"/>
      <c r="V35" s="276"/>
      <c r="W35" s="276"/>
      <c r="X35" s="279"/>
      <c r="Y35" s="276"/>
      <c r="Z35" s="276"/>
      <c r="AA35" s="276"/>
      <c r="AB35" s="197"/>
      <c r="AC35" s="454"/>
    </row>
    <row r="36" spans="1:29" s="7" customFormat="1" ht="33.75" customHeight="1">
      <c r="A36" s="464">
        <v>14</v>
      </c>
      <c r="B36" s="451" t="str">
        <f>VLOOKUP(A36,'記帳例 (手書き)'!$A$10:$B$41,2,FALSE)</f>
        <v>現金売上、預金引出（東西銀行）</v>
      </c>
      <c r="C36" s="13"/>
      <c r="D36" s="273" t="s">
        <v>177</v>
      </c>
      <c r="E36" s="216"/>
      <c r="F36" s="217"/>
      <c r="G36" s="217"/>
      <c r="H36" s="218"/>
      <c r="I36" s="218"/>
      <c r="J36" s="218"/>
      <c r="K36" s="218"/>
      <c r="L36" s="218"/>
      <c r="M36" s="218"/>
      <c r="N36" s="218"/>
      <c r="O36" s="218"/>
      <c r="P36" s="218"/>
      <c r="Q36" s="218"/>
      <c r="R36" s="218"/>
      <c r="S36" s="218"/>
      <c r="T36" s="218"/>
      <c r="U36" s="218"/>
      <c r="V36" s="218"/>
      <c r="W36" s="218"/>
      <c r="X36" s="221"/>
      <c r="Y36" s="218"/>
      <c r="Z36" s="218"/>
      <c r="AA36" s="218"/>
      <c r="AB36" s="196"/>
      <c r="AC36" s="453">
        <f t="shared" ref="AC36" si="9">SUM($E37:$G37)-SUM($I37:$AA37)+$AC34</f>
        <v>452600</v>
      </c>
    </row>
    <row r="37" spans="1:29" s="7" customFormat="1" ht="33.75" customHeight="1" thickBot="1">
      <c r="A37" s="449"/>
      <c r="B37" s="452"/>
      <c r="C37" s="15"/>
      <c r="D37" s="199" t="s">
        <v>105</v>
      </c>
      <c r="E37" s="280">
        <v>15000</v>
      </c>
      <c r="F37" s="281"/>
      <c r="G37" s="281">
        <v>40500</v>
      </c>
      <c r="H37" s="282"/>
      <c r="I37" s="282"/>
      <c r="J37" s="282"/>
      <c r="K37" s="282"/>
      <c r="L37" s="282"/>
      <c r="M37" s="282"/>
      <c r="N37" s="282"/>
      <c r="O37" s="282"/>
      <c r="P37" s="282"/>
      <c r="Q37" s="282"/>
      <c r="R37" s="282"/>
      <c r="S37" s="282"/>
      <c r="T37" s="282"/>
      <c r="U37" s="282"/>
      <c r="V37" s="282"/>
      <c r="W37" s="282"/>
      <c r="X37" s="283"/>
      <c r="Y37" s="282"/>
      <c r="Z37" s="282"/>
      <c r="AA37" s="282"/>
      <c r="AB37" s="194"/>
      <c r="AC37" s="465"/>
    </row>
    <row r="38" spans="1:29" s="7" customFormat="1" ht="33.75" customHeight="1">
      <c r="A38" s="455">
        <v>15</v>
      </c>
      <c r="B38" s="451" t="str">
        <f>VLOOKUP(A38,'記帳例 (手書き)'!$A$10:$B$41,2,FALSE)</f>
        <v>給与、専従者給料、預金引出（南北銀行）</v>
      </c>
      <c r="C38" s="13"/>
      <c r="D38" s="273" t="s">
        <v>177</v>
      </c>
      <c r="E38" s="216"/>
      <c r="F38" s="217"/>
      <c r="G38" s="217"/>
      <c r="H38" s="218"/>
      <c r="I38" s="218"/>
      <c r="J38" s="218"/>
      <c r="K38" s="218"/>
      <c r="L38" s="218"/>
      <c r="M38" s="218"/>
      <c r="N38" s="218"/>
      <c r="O38" s="218"/>
      <c r="P38" s="218"/>
      <c r="Q38" s="218"/>
      <c r="R38" s="218"/>
      <c r="S38" s="218"/>
      <c r="T38" s="218">
        <v>4600</v>
      </c>
      <c r="U38" s="218"/>
      <c r="V38" s="218"/>
      <c r="W38" s="218"/>
      <c r="X38" s="221"/>
      <c r="Y38" s="218"/>
      <c r="Z38" s="218"/>
      <c r="AA38" s="218"/>
      <c r="AB38" s="190"/>
      <c r="AC38" s="453">
        <f t="shared" ref="AC38" si="10">SUM($E39:$G39)-SUM($I39:$AA39)+$AC36</f>
        <v>382600</v>
      </c>
    </row>
    <row r="39" spans="1:29" s="7" customFormat="1" ht="33.75" customHeight="1" thickBot="1">
      <c r="A39" s="459"/>
      <c r="B39" s="452"/>
      <c r="C39" s="15"/>
      <c r="D39" s="274" t="s">
        <v>105</v>
      </c>
      <c r="E39" s="277"/>
      <c r="F39" s="278"/>
      <c r="G39" s="278">
        <v>186000</v>
      </c>
      <c r="H39" s="276"/>
      <c r="I39" s="276"/>
      <c r="J39" s="276"/>
      <c r="K39" s="276"/>
      <c r="L39" s="276"/>
      <c r="M39" s="276"/>
      <c r="N39" s="276"/>
      <c r="O39" s="276"/>
      <c r="P39" s="276"/>
      <c r="Q39" s="276"/>
      <c r="R39" s="276"/>
      <c r="S39" s="276"/>
      <c r="T39" s="276">
        <v>186000</v>
      </c>
      <c r="U39" s="276"/>
      <c r="V39" s="276"/>
      <c r="W39" s="276"/>
      <c r="X39" s="279"/>
      <c r="Y39" s="276"/>
      <c r="Z39" s="276"/>
      <c r="AA39" s="276">
        <v>70000</v>
      </c>
      <c r="AB39" s="191"/>
      <c r="AC39" s="454"/>
    </row>
    <row r="40" spans="1:29" s="7" customFormat="1" ht="33.75" customHeight="1">
      <c r="A40" s="466">
        <v>16</v>
      </c>
      <c r="B40" s="451" t="str">
        <f>VLOOKUP(A40,'記帳例 (手書き)'!$A$10:$B$41,2,FALSE)</f>
        <v>空箱売却金（安井飲料）、生活費</v>
      </c>
      <c r="C40" s="13"/>
      <c r="D40" s="273" t="s">
        <v>177</v>
      </c>
      <c r="E40" s="216"/>
      <c r="F40" s="217"/>
      <c r="G40" s="217"/>
      <c r="H40" s="218"/>
      <c r="I40" s="218"/>
      <c r="J40" s="218"/>
      <c r="K40" s="218"/>
      <c r="L40" s="218"/>
      <c r="M40" s="218"/>
      <c r="N40" s="218"/>
      <c r="O40" s="218"/>
      <c r="P40" s="218"/>
      <c r="Q40" s="218"/>
      <c r="R40" s="218"/>
      <c r="S40" s="218"/>
      <c r="T40" s="218"/>
      <c r="U40" s="218"/>
      <c r="V40" s="218"/>
      <c r="W40" s="218"/>
      <c r="X40" s="221"/>
      <c r="Y40" s="218"/>
      <c r="Z40" s="218"/>
      <c r="AA40" s="218"/>
      <c r="AB40" s="190"/>
      <c r="AC40" s="453">
        <f t="shared" ref="AC40" si="11">SUM($E41:$G41)-SUM($I41:$AA41)+$AC38</f>
        <v>284600</v>
      </c>
    </row>
    <row r="41" spans="1:29" s="7" customFormat="1" ht="33.75" customHeight="1" thickBot="1">
      <c r="A41" s="467"/>
      <c r="B41" s="452"/>
      <c r="C41" s="15"/>
      <c r="D41" s="274" t="s">
        <v>105</v>
      </c>
      <c r="E41" s="277"/>
      <c r="F41" s="278">
        <v>2000</v>
      </c>
      <c r="G41" s="278"/>
      <c r="H41" s="276"/>
      <c r="I41" s="276"/>
      <c r="J41" s="276"/>
      <c r="K41" s="276"/>
      <c r="L41" s="276"/>
      <c r="M41" s="276"/>
      <c r="N41" s="276"/>
      <c r="O41" s="276"/>
      <c r="P41" s="276"/>
      <c r="Q41" s="276"/>
      <c r="R41" s="276"/>
      <c r="S41" s="276"/>
      <c r="T41" s="276"/>
      <c r="U41" s="276"/>
      <c r="V41" s="276"/>
      <c r="W41" s="276"/>
      <c r="X41" s="279"/>
      <c r="Y41" s="276"/>
      <c r="Z41" s="276"/>
      <c r="AA41" s="276">
        <v>100000</v>
      </c>
      <c r="AB41" s="191"/>
      <c r="AC41" s="454"/>
    </row>
    <row r="42" spans="1:29" s="7" customFormat="1" ht="33.75" customHeight="1">
      <c r="A42" s="468">
        <v>17</v>
      </c>
      <c r="B42" s="451" t="str">
        <f>VLOOKUP(A42,'記帳例 (手書き)'!$A$10:$B$41,2,FALSE)</f>
        <v>生活費・買掛金支払（吉田商店）</v>
      </c>
      <c r="C42" s="13"/>
      <c r="D42" s="275" t="s">
        <v>177</v>
      </c>
      <c r="E42" s="222"/>
      <c r="F42" s="223"/>
      <c r="G42" s="223"/>
      <c r="H42" s="224"/>
      <c r="I42" s="224"/>
      <c r="J42" s="224"/>
      <c r="K42" s="224"/>
      <c r="L42" s="224"/>
      <c r="M42" s="224"/>
      <c r="N42" s="224"/>
      <c r="O42" s="224"/>
      <c r="P42" s="224"/>
      <c r="Q42" s="224"/>
      <c r="R42" s="224"/>
      <c r="S42" s="224"/>
      <c r="T42" s="224"/>
      <c r="U42" s="224"/>
      <c r="V42" s="224"/>
      <c r="W42" s="224"/>
      <c r="X42" s="224"/>
      <c r="Y42" s="224"/>
      <c r="Z42" s="224"/>
      <c r="AA42" s="224"/>
      <c r="AB42" s="195"/>
      <c r="AC42" s="453">
        <f t="shared" ref="AC42" si="12">SUM($E43:$G43)-SUM($I43:$AA43)+$AC40</f>
        <v>278600</v>
      </c>
    </row>
    <row r="43" spans="1:29" s="7" customFormat="1" ht="33.75" customHeight="1" thickBot="1">
      <c r="A43" s="459"/>
      <c r="B43" s="452"/>
      <c r="C43" s="15"/>
      <c r="D43" s="274" t="s">
        <v>105</v>
      </c>
      <c r="E43" s="277"/>
      <c r="F43" s="278"/>
      <c r="G43" s="278"/>
      <c r="H43" s="276"/>
      <c r="I43" s="276">
        <v>6000</v>
      </c>
      <c r="J43" s="276"/>
      <c r="K43" s="276"/>
      <c r="L43" s="276"/>
      <c r="M43" s="276"/>
      <c r="N43" s="276"/>
      <c r="O43" s="276"/>
      <c r="P43" s="276"/>
      <c r="Q43" s="276"/>
      <c r="R43" s="276"/>
      <c r="S43" s="276"/>
      <c r="T43" s="276"/>
      <c r="U43" s="276"/>
      <c r="V43" s="276"/>
      <c r="W43" s="276"/>
      <c r="X43" s="276"/>
      <c r="Y43" s="276"/>
      <c r="Z43" s="276"/>
      <c r="AA43" s="276"/>
      <c r="AB43" s="197"/>
      <c r="AC43" s="454"/>
    </row>
    <row r="44" spans="1:29" s="7" customFormat="1" ht="33.75" customHeight="1">
      <c r="A44" s="455">
        <v>18</v>
      </c>
      <c r="B44" s="451" t="str">
        <f>VLOOKUP(A44,'記帳例 (手書き)'!$A$10:$B$41,2,FALSE)</f>
        <v>電気料（銀行引落）、自動車税</v>
      </c>
      <c r="C44" s="13"/>
      <c r="D44" s="273" t="s">
        <v>177</v>
      </c>
      <c r="E44" s="216"/>
      <c r="F44" s="217"/>
      <c r="G44" s="217"/>
      <c r="H44" s="218"/>
      <c r="I44" s="218"/>
      <c r="J44" s="218"/>
      <c r="K44" s="218">
        <v>5400</v>
      </c>
      <c r="L44" s="218"/>
      <c r="M44" s="218"/>
      <c r="N44" s="218"/>
      <c r="O44" s="218"/>
      <c r="P44" s="218"/>
      <c r="Q44" s="218"/>
      <c r="R44" s="218"/>
      <c r="S44" s="218"/>
      <c r="T44" s="218"/>
      <c r="U44" s="218"/>
      <c r="V44" s="218"/>
      <c r="W44" s="218"/>
      <c r="X44" s="218"/>
      <c r="Y44" s="218"/>
      <c r="Z44" s="218"/>
      <c r="AA44" s="218"/>
      <c r="AB44" s="196"/>
      <c r="AC44" s="453">
        <f t="shared" ref="AC44" si="13">SUM($E45:$G45)-SUM($I45:$AA45)+$AC42</f>
        <v>258600</v>
      </c>
    </row>
    <row r="45" spans="1:29" s="7" customFormat="1" ht="33.75" customHeight="1" thickBot="1">
      <c r="A45" s="459"/>
      <c r="B45" s="452"/>
      <c r="C45" s="15"/>
      <c r="D45" s="274" t="s">
        <v>105</v>
      </c>
      <c r="E45" s="277"/>
      <c r="F45" s="278"/>
      <c r="G45" s="278"/>
      <c r="H45" s="276"/>
      <c r="I45" s="276"/>
      <c r="J45" s="276">
        <v>20000</v>
      </c>
      <c r="K45" s="276"/>
      <c r="L45" s="276"/>
      <c r="M45" s="276"/>
      <c r="N45" s="276"/>
      <c r="O45" s="276"/>
      <c r="P45" s="276"/>
      <c r="Q45" s="276"/>
      <c r="R45" s="276"/>
      <c r="S45" s="276"/>
      <c r="T45" s="276"/>
      <c r="U45" s="276"/>
      <c r="V45" s="276"/>
      <c r="W45" s="276"/>
      <c r="X45" s="276"/>
      <c r="Y45" s="276"/>
      <c r="Z45" s="276"/>
      <c r="AA45" s="276"/>
      <c r="AB45" s="197"/>
      <c r="AC45" s="454"/>
    </row>
    <row r="46" spans="1:29" s="7" customFormat="1" ht="33.75" customHeight="1">
      <c r="A46" s="455">
        <v>19</v>
      </c>
      <c r="B46" s="451" t="str">
        <f>VLOOKUP(A46,'記帳例 (手書き)'!$A$10:$B$41,2,FALSE)</f>
        <v>車検代（朝倉オート）</v>
      </c>
      <c r="C46" s="13"/>
      <c r="D46" s="273" t="s">
        <v>177</v>
      </c>
      <c r="E46" s="216"/>
      <c r="F46" s="217"/>
      <c r="G46" s="217"/>
      <c r="H46" s="218"/>
      <c r="I46" s="218"/>
      <c r="J46" s="305" t="s">
        <v>373</v>
      </c>
      <c r="K46" s="218"/>
      <c r="L46" s="218"/>
      <c r="M46" s="218"/>
      <c r="N46" s="218"/>
      <c r="O46" s="218"/>
      <c r="P46" s="305" t="s">
        <v>374</v>
      </c>
      <c r="Q46" s="218"/>
      <c r="R46" s="218"/>
      <c r="S46" s="218"/>
      <c r="T46" s="218"/>
      <c r="U46" s="218"/>
      <c r="V46" s="218"/>
      <c r="W46" s="305" t="s">
        <v>372</v>
      </c>
      <c r="X46" s="218"/>
      <c r="Y46" s="218"/>
      <c r="Z46" s="218"/>
      <c r="AA46" s="218"/>
      <c r="AB46" s="196"/>
      <c r="AC46" s="453">
        <f t="shared" ref="AC46" si="14">SUM($E47:$G47)-SUM($I47:$AA47)+$AC44</f>
        <v>175200</v>
      </c>
    </row>
    <row r="47" spans="1:29" s="7" customFormat="1" ht="33.75" customHeight="1" thickBot="1">
      <c r="A47" s="459"/>
      <c r="B47" s="452"/>
      <c r="C47" s="15"/>
      <c r="D47" s="274" t="s">
        <v>105</v>
      </c>
      <c r="E47" s="277"/>
      <c r="F47" s="278"/>
      <c r="G47" s="278"/>
      <c r="H47" s="276"/>
      <c r="I47" s="276"/>
      <c r="J47" s="276">
        <v>16000</v>
      </c>
      <c r="K47" s="276"/>
      <c r="L47" s="276"/>
      <c r="M47" s="276"/>
      <c r="N47" s="276"/>
      <c r="O47" s="276"/>
      <c r="P47" s="276">
        <v>12000</v>
      </c>
      <c r="Q47" s="276"/>
      <c r="R47" s="276"/>
      <c r="S47" s="276"/>
      <c r="T47" s="276"/>
      <c r="U47" s="276"/>
      <c r="V47" s="276"/>
      <c r="W47" s="276">
        <v>55400</v>
      </c>
      <c r="X47" s="276"/>
      <c r="Y47" s="276"/>
      <c r="Z47" s="276"/>
      <c r="AA47" s="276"/>
      <c r="AB47" s="197"/>
      <c r="AC47" s="454"/>
    </row>
    <row r="48" spans="1:29" s="7" customFormat="1" ht="33.75" customHeight="1">
      <c r="A48" s="455">
        <v>20</v>
      </c>
      <c r="B48" s="451" t="str">
        <f>VLOOKUP(A48,'記帳例 (手書き)'!$A$10:$B$41,2,FALSE)</f>
        <v>外注費（吉永印刷所）、新聞折込広告（青空新聞）</v>
      </c>
      <c r="C48" s="13"/>
      <c r="D48" s="273" t="s">
        <v>177</v>
      </c>
      <c r="E48" s="216"/>
      <c r="F48" s="217"/>
      <c r="G48" s="217"/>
      <c r="H48" s="218"/>
      <c r="I48" s="218"/>
      <c r="J48" s="218"/>
      <c r="K48" s="218"/>
      <c r="L48" s="218"/>
      <c r="M48" s="218"/>
      <c r="N48" s="218"/>
      <c r="O48" s="218"/>
      <c r="P48" s="218"/>
      <c r="Q48" s="218"/>
      <c r="R48" s="218"/>
      <c r="S48" s="218"/>
      <c r="T48" s="218"/>
      <c r="U48" s="218"/>
      <c r="V48" s="218"/>
      <c r="W48" s="218"/>
      <c r="X48" s="218"/>
      <c r="Y48" s="218"/>
      <c r="Z48" s="218"/>
      <c r="AA48" s="218"/>
      <c r="AB48" s="196"/>
      <c r="AC48" s="453">
        <f t="shared" ref="AC48" si="15">SUM($E49:$G49)-SUM($I49:$AA49)+$AC46</f>
        <v>118200</v>
      </c>
    </row>
    <row r="49" spans="1:29" s="7" customFormat="1" ht="33.75" customHeight="1" thickBot="1">
      <c r="A49" s="459"/>
      <c r="B49" s="452"/>
      <c r="C49" s="15"/>
      <c r="D49" s="274" t="s">
        <v>105</v>
      </c>
      <c r="E49" s="277"/>
      <c r="F49" s="278"/>
      <c r="G49" s="278"/>
      <c r="H49" s="276"/>
      <c r="I49" s="276"/>
      <c r="J49" s="276"/>
      <c r="K49" s="276"/>
      <c r="L49" s="276"/>
      <c r="M49" s="276"/>
      <c r="N49" s="276">
        <v>30000</v>
      </c>
      <c r="O49" s="276"/>
      <c r="P49" s="276"/>
      <c r="Q49" s="276"/>
      <c r="R49" s="276"/>
      <c r="S49" s="276"/>
      <c r="T49" s="276"/>
      <c r="U49" s="276">
        <v>27000</v>
      </c>
      <c r="V49" s="276"/>
      <c r="W49" s="276"/>
      <c r="X49" s="276"/>
      <c r="Y49" s="276"/>
      <c r="Z49" s="276"/>
      <c r="AA49" s="276"/>
      <c r="AB49" s="197"/>
      <c r="AC49" s="454"/>
    </row>
    <row r="50" spans="1:29" s="7" customFormat="1" ht="33.75" customHeight="1">
      <c r="A50" s="455">
        <v>21</v>
      </c>
      <c r="B50" s="451" t="str">
        <f>VLOOKUP(A50,'記帳例 (手書き)'!$A$10:$B$41,2,FALSE)</f>
        <v>売掛金入金（大田商店 小切手）</v>
      </c>
      <c r="C50" s="13"/>
      <c r="D50" s="273" t="s">
        <v>177</v>
      </c>
      <c r="E50" s="216"/>
      <c r="F50" s="217"/>
      <c r="G50" s="217"/>
      <c r="H50" s="218"/>
      <c r="I50" s="218"/>
      <c r="J50" s="218"/>
      <c r="K50" s="218"/>
      <c r="L50" s="218"/>
      <c r="M50" s="218"/>
      <c r="N50" s="218"/>
      <c r="O50" s="218"/>
      <c r="P50" s="218"/>
      <c r="Q50" s="218"/>
      <c r="R50" s="218"/>
      <c r="S50" s="218"/>
      <c r="T50" s="218"/>
      <c r="U50" s="218"/>
      <c r="V50" s="218"/>
      <c r="W50" s="218"/>
      <c r="X50" s="218"/>
      <c r="Y50" s="218"/>
      <c r="Z50" s="218"/>
      <c r="AA50" s="218"/>
      <c r="AB50" s="196"/>
      <c r="AC50" s="453">
        <f t="shared" ref="AC50" si="16">SUM($E51:$G51)-SUM($I51:$AA51)+$AC48</f>
        <v>178200</v>
      </c>
    </row>
    <row r="51" spans="1:29" s="7" customFormat="1" ht="33.75" customHeight="1" thickBot="1">
      <c r="A51" s="459"/>
      <c r="B51" s="452"/>
      <c r="C51" s="15"/>
      <c r="D51" s="274" t="s">
        <v>105</v>
      </c>
      <c r="E51" s="277">
        <v>60000</v>
      </c>
      <c r="F51" s="278"/>
      <c r="G51" s="278"/>
      <c r="H51" s="276"/>
      <c r="I51" s="276"/>
      <c r="J51" s="276"/>
      <c r="K51" s="276"/>
      <c r="L51" s="276"/>
      <c r="M51" s="276"/>
      <c r="N51" s="276"/>
      <c r="O51" s="276"/>
      <c r="P51" s="276"/>
      <c r="Q51" s="276"/>
      <c r="R51" s="276"/>
      <c r="S51" s="276"/>
      <c r="T51" s="276"/>
      <c r="U51" s="276"/>
      <c r="V51" s="276"/>
      <c r="W51" s="276"/>
      <c r="X51" s="276"/>
      <c r="Y51" s="276"/>
      <c r="Z51" s="276"/>
      <c r="AA51" s="276"/>
      <c r="AB51" s="197"/>
      <c r="AC51" s="454"/>
    </row>
    <row r="52" spans="1:29" s="7" customFormat="1" ht="33.75" customHeight="1">
      <c r="A52" s="455">
        <v>22</v>
      </c>
      <c r="B52" s="451" t="str">
        <f>VLOOKUP(A52,'記帳例 (手書き)'!$A$10:$B$41,2,FALSE)</f>
        <v>買掛金支払(山下商店 手形）</v>
      </c>
      <c r="C52" s="13"/>
      <c r="D52" s="273" t="s">
        <v>177</v>
      </c>
      <c r="E52" s="216"/>
      <c r="F52" s="217"/>
      <c r="G52" s="217"/>
      <c r="H52" s="218"/>
      <c r="I52" s="218">
        <v>150000</v>
      </c>
      <c r="J52" s="218"/>
      <c r="K52" s="218"/>
      <c r="L52" s="218"/>
      <c r="M52" s="218"/>
      <c r="N52" s="218"/>
      <c r="O52" s="218"/>
      <c r="P52" s="218"/>
      <c r="Q52" s="218"/>
      <c r="R52" s="218"/>
      <c r="S52" s="218"/>
      <c r="T52" s="218"/>
      <c r="U52" s="218"/>
      <c r="V52" s="218"/>
      <c r="W52" s="218"/>
      <c r="X52" s="218"/>
      <c r="Y52" s="218"/>
      <c r="Z52" s="218"/>
      <c r="AA52" s="218"/>
      <c r="AB52" s="196"/>
      <c r="AC52" s="453">
        <f t="shared" ref="AC52" si="17">SUM($E53:$G53)-SUM($I53:$AA53)+$AC50</f>
        <v>178200</v>
      </c>
    </row>
    <row r="53" spans="1:29" s="7" customFormat="1" ht="33.75" customHeight="1" thickBot="1">
      <c r="A53" s="459"/>
      <c r="B53" s="452"/>
      <c r="C53" s="15"/>
      <c r="D53" s="274" t="s">
        <v>105</v>
      </c>
      <c r="E53" s="277"/>
      <c r="F53" s="278"/>
      <c r="G53" s="278"/>
      <c r="H53" s="276"/>
      <c r="I53" s="276"/>
      <c r="J53" s="276"/>
      <c r="K53" s="276"/>
      <c r="L53" s="276"/>
      <c r="M53" s="276"/>
      <c r="N53" s="276"/>
      <c r="O53" s="276"/>
      <c r="P53" s="276"/>
      <c r="Q53" s="276"/>
      <c r="R53" s="276"/>
      <c r="S53" s="276"/>
      <c r="T53" s="276"/>
      <c r="U53" s="276"/>
      <c r="V53" s="276"/>
      <c r="W53" s="276"/>
      <c r="X53" s="276"/>
      <c r="Y53" s="276"/>
      <c r="Z53" s="276"/>
      <c r="AA53" s="276"/>
      <c r="AB53" s="197"/>
      <c r="AC53" s="454"/>
    </row>
    <row r="54" spans="1:29" s="7" customFormat="1" ht="33.75" customHeight="1">
      <c r="A54" s="455">
        <v>23</v>
      </c>
      <c r="B54" s="451" t="str">
        <f>VLOOKUP(A54,'記帳例 (手書き)'!$A$10:$B$41,2,FALSE)</f>
        <v>収入印紙代 ・従業員新年会費(居酒屋黒田)</v>
      </c>
      <c r="C54" s="13"/>
      <c r="D54" s="273" t="s">
        <v>177</v>
      </c>
      <c r="E54" s="216"/>
      <c r="F54" s="217"/>
      <c r="G54" s="217"/>
      <c r="H54" s="218"/>
      <c r="I54" s="218"/>
      <c r="J54" s="218"/>
      <c r="K54" s="218"/>
      <c r="L54" s="218"/>
      <c r="M54" s="218"/>
      <c r="N54" s="218"/>
      <c r="O54" s="218"/>
      <c r="P54" s="218"/>
      <c r="Q54" s="218"/>
      <c r="R54" s="218"/>
      <c r="S54" s="218"/>
      <c r="T54" s="218"/>
      <c r="U54" s="218"/>
      <c r="V54" s="218"/>
      <c r="W54" s="218"/>
      <c r="X54" s="218"/>
      <c r="Y54" s="218"/>
      <c r="Z54" s="218"/>
      <c r="AA54" s="218"/>
      <c r="AB54" s="196"/>
      <c r="AC54" s="453">
        <f t="shared" ref="AC54" si="18">SUM($E55:$G55)-SUM($I55:$AA55)+$AC52</f>
        <v>172700</v>
      </c>
    </row>
    <row r="55" spans="1:29" s="7" customFormat="1" ht="33.75" customHeight="1" thickBot="1">
      <c r="A55" s="459"/>
      <c r="B55" s="452"/>
      <c r="C55" s="15"/>
      <c r="D55" s="274" t="s">
        <v>105</v>
      </c>
      <c r="E55" s="277"/>
      <c r="F55" s="278"/>
      <c r="G55" s="278"/>
      <c r="H55" s="276"/>
      <c r="I55" s="276"/>
      <c r="J55" s="276">
        <v>2000</v>
      </c>
      <c r="K55" s="276"/>
      <c r="L55" s="276"/>
      <c r="M55" s="276"/>
      <c r="N55" s="276"/>
      <c r="O55" s="276"/>
      <c r="P55" s="276"/>
      <c r="Q55" s="276"/>
      <c r="R55" s="276"/>
      <c r="S55" s="276">
        <v>3500</v>
      </c>
      <c r="T55" s="276"/>
      <c r="U55" s="276"/>
      <c r="V55" s="276"/>
      <c r="W55" s="276"/>
      <c r="X55" s="276"/>
      <c r="Y55" s="276"/>
      <c r="Z55" s="276"/>
      <c r="AA55" s="276"/>
      <c r="AB55" s="197"/>
      <c r="AC55" s="454"/>
    </row>
    <row r="56" spans="1:29" s="7" customFormat="1" ht="33.75" customHeight="1">
      <c r="A56" s="455">
        <v>24</v>
      </c>
      <c r="B56" s="451" t="str">
        <f>VLOOKUP(A56,'記帳例 (手書き)'!$A$10:$B$41,2,FALSE)</f>
        <v>売掛金入金（山口商店　手形）</v>
      </c>
      <c r="C56" s="13"/>
      <c r="D56" s="273" t="s">
        <v>177</v>
      </c>
      <c r="E56" s="216">
        <v>50000</v>
      </c>
      <c r="F56" s="217"/>
      <c r="G56" s="217"/>
      <c r="H56" s="218"/>
      <c r="I56" s="218"/>
      <c r="J56" s="218"/>
      <c r="K56" s="218"/>
      <c r="L56" s="218"/>
      <c r="M56" s="218"/>
      <c r="N56" s="218"/>
      <c r="O56" s="218"/>
      <c r="P56" s="218"/>
      <c r="Q56" s="218"/>
      <c r="R56" s="218"/>
      <c r="S56" s="218"/>
      <c r="T56" s="218"/>
      <c r="U56" s="218"/>
      <c r="V56" s="218"/>
      <c r="W56" s="218"/>
      <c r="X56" s="218"/>
      <c r="Y56" s="218"/>
      <c r="Z56" s="218"/>
      <c r="AA56" s="218"/>
      <c r="AB56" s="196"/>
      <c r="AC56" s="453">
        <f t="shared" ref="AC56" si="19">SUM($E57:$G57)-SUM($I57:$AA57)+$AC54</f>
        <v>169700</v>
      </c>
    </row>
    <row r="57" spans="1:29" s="7" customFormat="1" ht="33.75" customHeight="1" thickBot="1">
      <c r="A57" s="459"/>
      <c r="B57" s="452"/>
      <c r="C57" s="15"/>
      <c r="D57" s="274" t="s">
        <v>105</v>
      </c>
      <c r="E57" s="277"/>
      <c r="F57" s="278"/>
      <c r="G57" s="278"/>
      <c r="H57" s="276"/>
      <c r="I57" s="276"/>
      <c r="J57" s="276">
        <v>3000</v>
      </c>
      <c r="K57" s="276"/>
      <c r="L57" s="276"/>
      <c r="M57" s="276"/>
      <c r="N57" s="276"/>
      <c r="O57" s="276"/>
      <c r="P57" s="276"/>
      <c r="Q57" s="276"/>
      <c r="R57" s="276"/>
      <c r="S57" s="276"/>
      <c r="T57" s="276"/>
      <c r="U57" s="276"/>
      <c r="V57" s="276"/>
      <c r="W57" s="276"/>
      <c r="X57" s="276"/>
      <c r="Y57" s="276"/>
      <c r="Z57" s="276"/>
      <c r="AA57" s="276"/>
      <c r="AB57" s="197"/>
      <c r="AC57" s="454"/>
    </row>
    <row r="58" spans="1:29" s="7" customFormat="1" ht="33.75" customHeight="1">
      <c r="A58" s="455">
        <v>25</v>
      </c>
      <c r="B58" s="451" t="str">
        <f>VLOOKUP(A58,'記帳例 (手書き)'!$A$10:$B$41,2,FALSE)</f>
        <v>作業場家賃（駅裏不動産）・売掛金入金（出口商店）、預金引出(南北銀行)</v>
      </c>
      <c r="C58" s="13"/>
      <c r="D58" s="273" t="s">
        <v>177</v>
      </c>
      <c r="E58" s="216"/>
      <c r="F58" s="217"/>
      <c r="G58" s="217"/>
      <c r="H58" s="218"/>
      <c r="I58" s="218"/>
      <c r="J58" s="218"/>
      <c r="K58" s="218"/>
      <c r="L58" s="218"/>
      <c r="M58" s="218"/>
      <c r="N58" s="218"/>
      <c r="O58" s="218"/>
      <c r="P58" s="218"/>
      <c r="Q58" s="218"/>
      <c r="R58" s="218"/>
      <c r="S58" s="218"/>
      <c r="T58" s="218"/>
      <c r="U58" s="218"/>
      <c r="V58" s="218"/>
      <c r="W58" s="218"/>
      <c r="X58" s="218"/>
      <c r="Y58" s="218"/>
      <c r="Z58" s="218"/>
      <c r="AA58" s="218"/>
      <c r="AB58" s="196"/>
      <c r="AC58" s="453">
        <f t="shared" ref="AC58" si="20">SUM($E59:$G59)-SUM($I59:$AA59)+$AC56</f>
        <v>359900</v>
      </c>
    </row>
    <row r="59" spans="1:29" s="7" customFormat="1" ht="33.75" customHeight="1" thickBot="1">
      <c r="A59" s="459"/>
      <c r="B59" s="452"/>
      <c r="C59" s="15"/>
      <c r="D59" s="274" t="s">
        <v>105</v>
      </c>
      <c r="E59" s="277">
        <v>150000</v>
      </c>
      <c r="F59" s="278"/>
      <c r="G59" s="278">
        <v>50000</v>
      </c>
      <c r="H59" s="276"/>
      <c r="I59" s="276"/>
      <c r="J59" s="276"/>
      <c r="K59" s="276"/>
      <c r="L59" s="276"/>
      <c r="M59" s="276"/>
      <c r="N59" s="276"/>
      <c r="O59" s="276"/>
      <c r="P59" s="276"/>
      <c r="Q59" s="276"/>
      <c r="R59" s="276"/>
      <c r="S59" s="276"/>
      <c r="T59" s="276"/>
      <c r="U59" s="276"/>
      <c r="V59" s="276"/>
      <c r="W59" s="276"/>
      <c r="X59" s="276">
        <v>9800</v>
      </c>
      <c r="Y59" s="276"/>
      <c r="Z59" s="276"/>
      <c r="AA59" s="276"/>
      <c r="AB59" s="197"/>
      <c r="AC59" s="454"/>
    </row>
    <row r="60" spans="1:29" s="7" customFormat="1" ht="33.75" customHeight="1">
      <c r="A60" s="455">
        <v>26</v>
      </c>
      <c r="B60" s="451" t="str">
        <f>VLOOKUP(A60,'記帳例 (手書き)'!$A$10:$B$41,2,FALSE)</f>
        <v>生命保険（青空生命保険）</v>
      </c>
      <c r="C60" s="13"/>
      <c r="D60" s="273" t="s">
        <v>177</v>
      </c>
      <c r="E60" s="216"/>
      <c r="F60" s="217"/>
      <c r="G60" s="217"/>
      <c r="H60" s="218"/>
      <c r="I60" s="218"/>
      <c r="J60" s="218"/>
      <c r="K60" s="218"/>
      <c r="L60" s="218"/>
      <c r="M60" s="218"/>
      <c r="N60" s="218"/>
      <c r="O60" s="218"/>
      <c r="P60" s="218"/>
      <c r="Q60" s="218"/>
      <c r="R60" s="218"/>
      <c r="S60" s="218"/>
      <c r="T60" s="218"/>
      <c r="U60" s="218"/>
      <c r="V60" s="218"/>
      <c r="W60" s="218"/>
      <c r="X60" s="218"/>
      <c r="Y60" s="218"/>
      <c r="Z60" s="218"/>
      <c r="AA60" s="218"/>
      <c r="AB60" s="196"/>
      <c r="AC60" s="453">
        <f t="shared" ref="AC60" si="21">SUM($E61:$G61)-SUM($I61:$AA61)+$AC58</f>
        <v>349900</v>
      </c>
    </row>
    <row r="61" spans="1:29" s="7" customFormat="1" ht="33.75" customHeight="1" thickBot="1">
      <c r="A61" s="459"/>
      <c r="B61" s="452"/>
      <c r="C61" s="15"/>
      <c r="D61" s="274" t="s">
        <v>105</v>
      </c>
      <c r="E61" s="277"/>
      <c r="F61" s="278"/>
      <c r="G61" s="278"/>
      <c r="H61" s="220"/>
      <c r="I61" s="276"/>
      <c r="J61" s="276"/>
      <c r="K61" s="276"/>
      <c r="L61" s="276"/>
      <c r="M61" s="276"/>
      <c r="N61" s="276"/>
      <c r="O61" s="276"/>
      <c r="P61" s="276"/>
      <c r="Q61" s="276"/>
      <c r="R61" s="276"/>
      <c r="S61" s="276"/>
      <c r="T61" s="276"/>
      <c r="U61" s="276"/>
      <c r="V61" s="276"/>
      <c r="W61" s="276"/>
      <c r="X61" s="276"/>
      <c r="Y61" s="276"/>
      <c r="Z61" s="276"/>
      <c r="AA61" s="276">
        <v>10000</v>
      </c>
      <c r="AB61" s="197"/>
      <c r="AC61" s="454"/>
    </row>
    <row r="62" spans="1:29" s="7" customFormat="1" ht="33.75" customHeight="1">
      <c r="A62" s="455">
        <v>27</v>
      </c>
      <c r="B62" s="451" t="str">
        <f>VLOOKUP(A62,'記帳例 (手書き)'!$A$10:$B$41,2,FALSE)</f>
        <v>車輛ローン・電話料</v>
      </c>
      <c r="C62" s="13"/>
      <c r="D62" s="273" t="s">
        <v>177</v>
      </c>
      <c r="E62" s="216"/>
      <c r="F62" s="217"/>
      <c r="G62" s="217"/>
      <c r="H62" s="218"/>
      <c r="I62" s="218"/>
      <c r="J62" s="218"/>
      <c r="K62" s="218"/>
      <c r="L62" s="218"/>
      <c r="M62" s="218">
        <v>5100</v>
      </c>
      <c r="N62" s="218"/>
      <c r="O62" s="218"/>
      <c r="P62" s="218"/>
      <c r="Q62" s="218"/>
      <c r="R62" s="218"/>
      <c r="S62" s="218"/>
      <c r="T62" s="218"/>
      <c r="U62" s="218"/>
      <c r="V62" s="218"/>
      <c r="W62" s="218"/>
      <c r="X62" s="218"/>
      <c r="Y62" s="218"/>
      <c r="Z62" s="218"/>
      <c r="AA62" s="218"/>
      <c r="AB62" s="196"/>
      <c r="AC62" s="453">
        <f t="shared" ref="AC62" si="22">SUM($E63:$G63)-SUM($I63:$AA63)+$AC60</f>
        <v>296900</v>
      </c>
    </row>
    <row r="63" spans="1:29" s="7" customFormat="1" ht="33.75" customHeight="1" thickBot="1">
      <c r="A63" s="459"/>
      <c r="B63" s="452"/>
      <c r="C63" s="15"/>
      <c r="D63" s="274" t="s">
        <v>105</v>
      </c>
      <c r="E63" s="277"/>
      <c r="F63" s="278"/>
      <c r="G63" s="278"/>
      <c r="H63" s="276"/>
      <c r="I63" s="276"/>
      <c r="J63" s="276"/>
      <c r="K63" s="276"/>
      <c r="L63" s="276"/>
      <c r="M63" s="276"/>
      <c r="N63" s="276"/>
      <c r="O63" s="276"/>
      <c r="P63" s="276"/>
      <c r="Q63" s="276"/>
      <c r="R63" s="276"/>
      <c r="S63" s="276"/>
      <c r="T63" s="276"/>
      <c r="U63" s="276"/>
      <c r="V63" s="276"/>
      <c r="W63" s="276"/>
      <c r="X63" s="276"/>
      <c r="Y63" s="276"/>
      <c r="Z63" s="276"/>
      <c r="AA63" s="276">
        <v>53000</v>
      </c>
      <c r="AB63" s="197"/>
      <c r="AC63" s="454"/>
    </row>
    <row r="64" spans="1:29" s="7" customFormat="1" ht="33.75" customHeight="1">
      <c r="A64" s="455">
        <v>28</v>
      </c>
      <c r="B64" s="451" t="str">
        <f>VLOOKUP(A64,'記帳例 (手書き)'!$A$10:$B$41,2,FALSE)</f>
        <v>現金売上、ｷｬｼｭﾚｽ売上、借入金返済（南北銀行）、ｵｲﾙ交換(朝倉ｵｰﾄ)</v>
      </c>
      <c r="C64" s="13"/>
      <c r="D64" s="273" t="s">
        <v>177</v>
      </c>
      <c r="E64" s="216">
        <v>1200</v>
      </c>
      <c r="F64" s="217"/>
      <c r="G64" s="217"/>
      <c r="H64" s="218"/>
      <c r="I64" s="218"/>
      <c r="J64" s="218"/>
      <c r="K64" s="218"/>
      <c r="L64" s="218"/>
      <c r="M64" s="218"/>
      <c r="N64" s="218"/>
      <c r="O64" s="218"/>
      <c r="P64" s="218"/>
      <c r="Q64" s="218"/>
      <c r="R64" s="218"/>
      <c r="S64" s="218"/>
      <c r="T64" s="218"/>
      <c r="U64" s="218"/>
      <c r="V64" s="218">
        <v>13400</v>
      </c>
      <c r="W64" s="218"/>
      <c r="X64" s="218"/>
      <c r="Y64" s="218"/>
      <c r="Z64" s="218"/>
      <c r="AA64" s="218">
        <v>60000</v>
      </c>
      <c r="AB64" s="196"/>
      <c r="AC64" s="453">
        <f t="shared" ref="AC64" si="23">SUM($E65:$G65)-SUM($I65:$AA65)+$AC62</f>
        <v>296900</v>
      </c>
    </row>
    <row r="65" spans="1:29" s="7" customFormat="1" ht="33.75" customHeight="1" thickBot="1">
      <c r="A65" s="459"/>
      <c r="B65" s="452"/>
      <c r="C65" s="15"/>
      <c r="D65" s="274" t="s">
        <v>105</v>
      </c>
      <c r="E65" s="277">
        <v>6000</v>
      </c>
      <c r="F65" s="278"/>
      <c r="G65" s="278"/>
      <c r="H65" s="276"/>
      <c r="I65" s="276"/>
      <c r="J65" s="276"/>
      <c r="K65" s="276"/>
      <c r="L65" s="276"/>
      <c r="M65" s="276"/>
      <c r="N65" s="276"/>
      <c r="O65" s="276"/>
      <c r="P65" s="276"/>
      <c r="Q65" s="276"/>
      <c r="R65" s="276"/>
      <c r="S65" s="276"/>
      <c r="T65" s="276"/>
      <c r="U65" s="276"/>
      <c r="V65" s="333" t="s">
        <v>377</v>
      </c>
      <c r="W65" s="276">
        <v>6000</v>
      </c>
      <c r="X65" s="276"/>
      <c r="Y65" s="276"/>
      <c r="Z65" s="276"/>
      <c r="AA65" s="333" t="s">
        <v>376</v>
      </c>
      <c r="AB65" s="197"/>
      <c r="AC65" s="454"/>
    </row>
    <row r="66" spans="1:29" s="7" customFormat="1" ht="33.75" customHeight="1">
      <c r="A66" s="455">
        <v>29</v>
      </c>
      <c r="B66" s="451" t="str">
        <f>VLOOKUP(A66,'記帳例 (手書き)'!$A$10:$B$41,2,FALSE)</f>
        <v>売掛金入金（吉田商店　振込）
（20万の売上金から振込手数料を差し引かれた）</v>
      </c>
      <c r="C66" s="13"/>
      <c r="D66" s="273" t="s">
        <v>177</v>
      </c>
      <c r="E66" s="216">
        <v>200000</v>
      </c>
      <c r="F66" s="217"/>
      <c r="G66" s="217"/>
      <c r="H66" s="218"/>
      <c r="I66" s="218"/>
      <c r="J66" s="218"/>
      <c r="K66" s="218"/>
      <c r="L66" s="218"/>
      <c r="M66" s="218"/>
      <c r="N66" s="218"/>
      <c r="O66" s="218"/>
      <c r="P66" s="218"/>
      <c r="Q66" s="218"/>
      <c r="R66" s="218"/>
      <c r="S66" s="218"/>
      <c r="T66" s="218"/>
      <c r="U66" s="218"/>
      <c r="V66" s="218"/>
      <c r="W66" s="218"/>
      <c r="X66" s="218"/>
      <c r="Y66" s="218"/>
      <c r="Z66" s="218">
        <v>550</v>
      </c>
      <c r="AA66" s="218"/>
      <c r="AB66" s="196"/>
      <c r="AC66" s="453">
        <f t="shared" ref="AC66" si="24">SUM($E67:$G67)-SUM($I67:$AA67)+$AC64</f>
        <v>296900</v>
      </c>
    </row>
    <row r="67" spans="1:29" s="7" customFormat="1" ht="33.75" customHeight="1" thickBot="1">
      <c r="A67" s="459"/>
      <c r="B67" s="452"/>
      <c r="C67" s="15"/>
      <c r="D67" s="274" t="s">
        <v>105</v>
      </c>
      <c r="E67" s="277"/>
      <c r="F67" s="278"/>
      <c r="G67" s="278"/>
      <c r="H67" s="276"/>
      <c r="I67" s="276"/>
      <c r="J67" s="276"/>
      <c r="K67" s="276"/>
      <c r="L67" s="276"/>
      <c r="M67" s="276"/>
      <c r="N67" s="276"/>
      <c r="O67" s="276"/>
      <c r="P67" s="276"/>
      <c r="Q67" s="276"/>
      <c r="R67" s="276"/>
      <c r="S67" s="276"/>
      <c r="T67" s="276"/>
      <c r="U67" s="276"/>
      <c r="V67" s="276"/>
      <c r="W67" s="276"/>
      <c r="X67" s="276"/>
      <c r="Y67" s="276"/>
      <c r="Z67" s="276"/>
      <c r="AA67" s="276"/>
      <c r="AB67" s="197"/>
      <c r="AC67" s="454"/>
    </row>
    <row r="68" spans="1:29" s="7" customFormat="1" ht="33.75" customHeight="1">
      <c r="A68" s="455">
        <v>30</v>
      </c>
      <c r="B68" s="451" t="str">
        <f>VLOOKUP(A68,'記帳例 (手書き)'!$A$10:$B$41,2,FALSE)</f>
        <v>電話機リース料（星空ﾌｧｲﾅﾝｽ）</v>
      </c>
      <c r="C68" s="13"/>
      <c r="D68" s="273" t="s">
        <v>177</v>
      </c>
      <c r="E68" s="216"/>
      <c r="F68" s="217"/>
      <c r="G68" s="217"/>
      <c r="H68" s="218"/>
      <c r="I68" s="218"/>
      <c r="J68" s="218"/>
      <c r="K68" s="218"/>
      <c r="L68" s="218"/>
      <c r="M68" s="218"/>
      <c r="N68" s="218"/>
      <c r="O68" s="218"/>
      <c r="P68" s="218"/>
      <c r="Q68" s="218"/>
      <c r="R68" s="218"/>
      <c r="S68" s="218"/>
      <c r="T68" s="218"/>
      <c r="U68" s="218"/>
      <c r="V68" s="218"/>
      <c r="W68" s="218"/>
      <c r="X68" s="218"/>
      <c r="Y68" s="218"/>
      <c r="Z68" s="218"/>
      <c r="AA68" s="218"/>
      <c r="AB68" s="196"/>
      <c r="AC68" s="453">
        <f t="shared" ref="AC68" si="25">SUM($E69:$G69)-SUM($I69:$AA69)+$AC66</f>
        <v>291900</v>
      </c>
    </row>
    <row r="69" spans="1:29" s="7" customFormat="1" ht="33.75" customHeight="1" thickBot="1">
      <c r="A69" s="459"/>
      <c r="B69" s="452"/>
      <c r="C69" s="15"/>
      <c r="D69" s="274" t="s">
        <v>105</v>
      </c>
      <c r="E69" s="277"/>
      <c r="F69" s="278"/>
      <c r="G69" s="278"/>
      <c r="H69" s="276"/>
      <c r="I69" s="276"/>
      <c r="J69" s="276"/>
      <c r="K69" s="276"/>
      <c r="L69" s="276"/>
      <c r="M69" s="276"/>
      <c r="N69" s="276"/>
      <c r="O69" s="276"/>
      <c r="P69" s="276"/>
      <c r="Q69" s="276"/>
      <c r="R69" s="276"/>
      <c r="S69" s="276"/>
      <c r="T69" s="276"/>
      <c r="U69" s="276"/>
      <c r="V69" s="276"/>
      <c r="W69" s="276"/>
      <c r="X69" s="276"/>
      <c r="Y69" s="276">
        <v>5000</v>
      </c>
      <c r="Z69" s="276"/>
      <c r="AA69" s="276"/>
      <c r="AB69" s="197"/>
      <c r="AC69" s="454"/>
    </row>
    <row r="70" spans="1:29" s="7" customFormat="1" ht="33.75" customHeight="1">
      <c r="A70" s="455">
        <v>31</v>
      </c>
      <c r="B70" s="451" t="str">
        <f>VLOOKUP(A70,'記帳例 (手書き)'!$A$10:$B$41,2,FALSE)</f>
        <v>業界誌（商用）(現代書房)</v>
      </c>
      <c r="C70" s="13"/>
      <c r="D70" s="273" t="s">
        <v>177</v>
      </c>
      <c r="E70" s="216"/>
      <c r="F70" s="217"/>
      <c r="G70" s="217"/>
      <c r="H70" s="218"/>
      <c r="I70" s="218"/>
      <c r="J70" s="218"/>
      <c r="K70" s="218"/>
      <c r="L70" s="218"/>
      <c r="M70" s="218"/>
      <c r="N70" s="218"/>
      <c r="O70" s="218"/>
      <c r="P70" s="218"/>
      <c r="Q70" s="218"/>
      <c r="R70" s="218"/>
      <c r="S70" s="218"/>
      <c r="T70" s="218"/>
      <c r="U70" s="218"/>
      <c r="V70" s="218"/>
      <c r="W70" s="218"/>
      <c r="X70" s="218"/>
      <c r="Y70" s="218"/>
      <c r="Z70" s="218"/>
      <c r="AA70" s="218"/>
      <c r="AB70" s="196"/>
      <c r="AC70" s="453">
        <f t="shared" ref="AC70" si="26">SUM($E71:$G71)-SUM($I71:$AA71)+$AC68</f>
        <v>286900</v>
      </c>
    </row>
    <row r="71" spans="1:29" s="7" customFormat="1" ht="33.75" customHeight="1" thickBot="1">
      <c r="A71" s="459"/>
      <c r="B71" s="452"/>
      <c r="C71" s="15"/>
      <c r="D71" s="274" t="s">
        <v>105</v>
      </c>
      <c r="E71" s="277"/>
      <c r="F71" s="278"/>
      <c r="G71" s="278"/>
      <c r="H71" s="276"/>
      <c r="I71" s="276"/>
      <c r="J71" s="276"/>
      <c r="K71" s="276"/>
      <c r="L71" s="276"/>
      <c r="M71" s="276"/>
      <c r="N71" s="276"/>
      <c r="O71" s="276"/>
      <c r="P71" s="276"/>
      <c r="Q71" s="276"/>
      <c r="R71" s="276"/>
      <c r="S71" s="276"/>
      <c r="T71" s="276"/>
      <c r="U71" s="276"/>
      <c r="V71" s="276"/>
      <c r="W71" s="276"/>
      <c r="X71" s="276"/>
      <c r="Y71" s="276"/>
      <c r="Z71" s="276">
        <v>5000</v>
      </c>
      <c r="AA71" s="276"/>
      <c r="AB71" s="197"/>
      <c r="AC71" s="454"/>
    </row>
    <row r="72" spans="1:29" ht="46.5" customHeight="1">
      <c r="A72" s="469" t="s">
        <v>331</v>
      </c>
      <c r="B72" s="470"/>
      <c r="C72" s="470"/>
      <c r="D72" s="471"/>
      <c r="E72" s="192">
        <f>SUM(E$10:E$71)</f>
        <v>662100</v>
      </c>
      <c r="F72" s="192">
        <f t="shared" ref="F72" si="27">SUM(F$10:F$71)</f>
        <v>2000</v>
      </c>
      <c r="G72" s="192">
        <f>SUM(G$10:G$71)</f>
        <v>396500</v>
      </c>
      <c r="H72" s="192">
        <f>SUMIF($D$10:$D$41,$D72,H$10:H$41)</f>
        <v>0</v>
      </c>
      <c r="I72" s="192">
        <f>SUM(I$10:I$71)</f>
        <v>166000</v>
      </c>
      <c r="J72" s="192">
        <f>SUM(J$10:J$71)</f>
        <v>43000</v>
      </c>
      <c r="K72" s="192">
        <f t="shared" ref="K72:Z72" si="28">SUM(K$10:K$71)</f>
        <v>7000</v>
      </c>
      <c r="L72" s="192">
        <f t="shared" si="28"/>
        <v>1000</v>
      </c>
      <c r="M72" s="192">
        <f t="shared" si="28"/>
        <v>5100</v>
      </c>
      <c r="N72" s="192">
        <f t="shared" si="28"/>
        <v>30000</v>
      </c>
      <c r="O72" s="192">
        <f t="shared" si="28"/>
        <v>2600</v>
      </c>
      <c r="P72" s="192">
        <f t="shared" si="28"/>
        <v>38500</v>
      </c>
      <c r="Q72" s="192">
        <f t="shared" si="28"/>
        <v>12000</v>
      </c>
      <c r="R72" s="192">
        <f t="shared" si="28"/>
        <v>1000</v>
      </c>
      <c r="S72" s="192">
        <f t="shared" si="28"/>
        <v>3500</v>
      </c>
      <c r="T72" s="192">
        <f t="shared" si="28"/>
        <v>190600</v>
      </c>
      <c r="U72" s="192">
        <f t="shared" si="28"/>
        <v>27000</v>
      </c>
      <c r="V72" s="192">
        <f t="shared" si="28"/>
        <v>13400</v>
      </c>
      <c r="W72" s="192">
        <f>SUM(W$10:W$71)</f>
        <v>65800</v>
      </c>
      <c r="X72" s="192">
        <f t="shared" si="28"/>
        <v>9800</v>
      </c>
      <c r="Y72" s="192">
        <f t="shared" si="28"/>
        <v>5000</v>
      </c>
      <c r="Z72" s="192">
        <f t="shared" si="28"/>
        <v>5550</v>
      </c>
      <c r="AA72" s="192">
        <f>SUM(AA$10:AA$71)</f>
        <v>343000</v>
      </c>
      <c r="AB72" s="197">
        <f>SUMIF($D$10:$D$41,$D72,AB$10:AB$41)</f>
        <v>0</v>
      </c>
      <c r="AC72" s="193"/>
    </row>
    <row r="73" spans="1:29" ht="33.75" customHeight="1">
      <c r="B73" s="43" t="s">
        <v>330</v>
      </c>
    </row>
  </sheetData>
  <mergeCells count="136">
    <mergeCell ref="A72:D72"/>
    <mergeCell ref="A68:A69"/>
    <mergeCell ref="B68:B69"/>
    <mergeCell ref="AC68:AC69"/>
    <mergeCell ref="A70:A71"/>
    <mergeCell ref="B70:B71"/>
    <mergeCell ref="AC70:AC71"/>
    <mergeCell ref="A64:A65"/>
    <mergeCell ref="B64:B65"/>
    <mergeCell ref="AC64:AC65"/>
    <mergeCell ref="A66:A67"/>
    <mergeCell ref="B66:B67"/>
    <mergeCell ref="AC66:AC67"/>
    <mergeCell ref="A60:A61"/>
    <mergeCell ref="B60:B61"/>
    <mergeCell ref="AC60:AC61"/>
    <mergeCell ref="A62:A63"/>
    <mergeCell ref="B62:B63"/>
    <mergeCell ref="AC62:AC63"/>
    <mergeCell ref="A56:A57"/>
    <mergeCell ref="B56:B57"/>
    <mergeCell ref="AC56:AC57"/>
    <mergeCell ref="A58:A59"/>
    <mergeCell ref="B58:B59"/>
    <mergeCell ref="AC58:AC59"/>
    <mergeCell ref="A52:A53"/>
    <mergeCell ref="B52:B53"/>
    <mergeCell ref="AC52:AC53"/>
    <mergeCell ref="A54:A55"/>
    <mergeCell ref="B54:B55"/>
    <mergeCell ref="AC54:AC55"/>
    <mergeCell ref="A48:A49"/>
    <mergeCell ref="B48:B49"/>
    <mergeCell ref="AC48:AC49"/>
    <mergeCell ref="A50:A51"/>
    <mergeCell ref="B50:B51"/>
    <mergeCell ref="AC50:AC51"/>
    <mergeCell ref="A44:A45"/>
    <mergeCell ref="B44:B45"/>
    <mergeCell ref="AC44:AC45"/>
    <mergeCell ref="A46:A47"/>
    <mergeCell ref="B46:B47"/>
    <mergeCell ref="AC46:AC47"/>
    <mergeCell ref="A40:A41"/>
    <mergeCell ref="B40:B41"/>
    <mergeCell ref="AC40:AC41"/>
    <mergeCell ref="A42:A43"/>
    <mergeCell ref="B42:B43"/>
    <mergeCell ref="AC42:AC43"/>
    <mergeCell ref="A36:A37"/>
    <mergeCell ref="B36:B37"/>
    <mergeCell ref="AC36:AC37"/>
    <mergeCell ref="A38:A39"/>
    <mergeCell ref="B38:B39"/>
    <mergeCell ref="AC38:AC39"/>
    <mergeCell ref="A32:A33"/>
    <mergeCell ref="B32:B33"/>
    <mergeCell ref="AC32:AC33"/>
    <mergeCell ref="A34:A35"/>
    <mergeCell ref="B34:B35"/>
    <mergeCell ref="AC34:AC35"/>
    <mergeCell ref="A28:A29"/>
    <mergeCell ref="B28:B29"/>
    <mergeCell ref="AC28:AC29"/>
    <mergeCell ref="A30:A31"/>
    <mergeCell ref="B30:B31"/>
    <mergeCell ref="AC30:AC31"/>
    <mergeCell ref="A24:A25"/>
    <mergeCell ref="B24:B25"/>
    <mergeCell ref="AC24:AC25"/>
    <mergeCell ref="A26:A27"/>
    <mergeCell ref="B26:B27"/>
    <mergeCell ref="AC26:AC27"/>
    <mergeCell ref="S6:S9"/>
    <mergeCell ref="T6:T9"/>
    <mergeCell ref="U6:U9"/>
    <mergeCell ref="A20:A21"/>
    <mergeCell ref="B20:B21"/>
    <mergeCell ref="AC20:AC21"/>
    <mergeCell ref="A22:A23"/>
    <mergeCell ref="B22:B23"/>
    <mergeCell ref="AC22:AC23"/>
    <mergeCell ref="A16:A17"/>
    <mergeCell ref="B16:B17"/>
    <mergeCell ref="AC16:AC17"/>
    <mergeCell ref="A18:A19"/>
    <mergeCell ref="B18:B19"/>
    <mergeCell ref="AC18:AC19"/>
    <mergeCell ref="AB2:AB3"/>
    <mergeCell ref="AC2:AC3"/>
    <mergeCell ref="AB4:AB6"/>
    <mergeCell ref="AC4:AC6"/>
    <mergeCell ref="A12:A13"/>
    <mergeCell ref="B12:B13"/>
    <mergeCell ref="AC12:AC13"/>
    <mergeCell ref="A14:A15"/>
    <mergeCell ref="B14:B15"/>
    <mergeCell ref="AC14:AC15"/>
    <mergeCell ref="AB7:AB9"/>
    <mergeCell ref="AC7:AC9"/>
    <mergeCell ref="E8:E9"/>
    <mergeCell ref="G8:G9"/>
    <mergeCell ref="A10:A11"/>
    <mergeCell ref="B10:B11"/>
    <mergeCell ref="AC10:AC11"/>
    <mergeCell ref="W6:W9"/>
    <mergeCell ref="X6:X9"/>
    <mergeCell ref="Y6:Y9"/>
    <mergeCell ref="Z6:Z9"/>
    <mergeCell ref="I7:I8"/>
    <mergeCell ref="AA7:AA8"/>
    <mergeCell ref="Q6:Q9"/>
    <mergeCell ref="E5:G5"/>
    <mergeCell ref="I5:AA5"/>
    <mergeCell ref="E6:E7"/>
    <mergeCell ref="F6:F9"/>
    <mergeCell ref="G6:G7"/>
    <mergeCell ref="H6:H9"/>
    <mergeCell ref="A2:A9"/>
    <mergeCell ref="B2:B4"/>
    <mergeCell ref="C2:C4"/>
    <mergeCell ref="D2:G4"/>
    <mergeCell ref="H2:H4"/>
    <mergeCell ref="I2:AA4"/>
    <mergeCell ref="B6:B9"/>
    <mergeCell ref="C6:C9"/>
    <mergeCell ref="D6:D9"/>
    <mergeCell ref="J6:J9"/>
    <mergeCell ref="V6:V9"/>
    <mergeCell ref="K6:K9"/>
    <mergeCell ref="L6:L9"/>
    <mergeCell ref="M6:M9"/>
    <mergeCell ref="N6:N9"/>
    <mergeCell ref="O6:O9"/>
    <mergeCell ref="P6:P9"/>
    <mergeCell ref="R6:R9"/>
  </mergeCells>
  <phoneticPr fontId="1"/>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AA759-41D0-4488-92E6-B29773B38033}">
  <sheetPr>
    <pageSetUpPr fitToPage="1"/>
  </sheetPr>
  <dimension ref="A2:Q13"/>
  <sheetViews>
    <sheetView topLeftCell="A4" workbookViewId="0">
      <selection activeCell="C7" sqref="C7"/>
    </sheetView>
  </sheetViews>
  <sheetFormatPr defaultRowHeight="43.5" customHeight="1"/>
  <cols>
    <col min="1" max="1" width="7" customWidth="1"/>
    <col min="2" max="2" width="13.875" customWidth="1"/>
    <col min="3" max="3" width="5.75" customWidth="1"/>
    <col min="4" max="4" width="7" customWidth="1"/>
    <col min="5" max="5" width="8.25" customWidth="1"/>
    <col min="6" max="6" width="4" customWidth="1"/>
    <col min="7" max="7" width="13.875" customWidth="1"/>
    <col min="8" max="8" width="9" customWidth="1"/>
  </cols>
  <sheetData>
    <row r="2" spans="1:17" ht="43.5" customHeight="1">
      <c r="B2" s="211"/>
      <c r="C2" s="211"/>
      <c r="D2" s="211"/>
      <c r="E2" s="211"/>
      <c r="F2" s="211"/>
      <c r="G2" s="211" t="s">
        <v>344</v>
      </c>
      <c r="H2" s="475">
        <f>年間集計表!F1</f>
        <v>0</v>
      </c>
      <c r="I2" s="475"/>
      <c r="J2" s="211" t="s">
        <v>138</v>
      </c>
      <c r="K2" s="211"/>
      <c r="L2" s="211"/>
      <c r="M2" s="211"/>
      <c r="N2" s="211"/>
      <c r="O2" s="211"/>
      <c r="P2" s="211"/>
      <c r="Q2" s="211"/>
    </row>
    <row r="4" spans="1:17" ht="69" customHeight="1">
      <c r="A4" s="473" t="s">
        <v>129</v>
      </c>
      <c r="B4" s="473"/>
      <c r="C4" s="473"/>
      <c r="D4" s="473"/>
      <c r="E4" s="473"/>
      <c r="F4" s="473"/>
      <c r="G4" s="473"/>
      <c r="H4" s="473"/>
      <c r="I4" s="473"/>
      <c r="J4" s="473"/>
      <c r="K4" s="473"/>
      <c r="L4" s="473"/>
      <c r="M4" s="473"/>
      <c r="N4" s="473"/>
      <c r="O4" s="473"/>
      <c r="P4" s="473"/>
      <c r="Q4" s="473"/>
    </row>
    <row r="5" spans="1:17" ht="92.25" customHeight="1"/>
    <row r="6" spans="1:17" ht="43.5" customHeight="1">
      <c r="F6" s="36" t="s">
        <v>0</v>
      </c>
      <c r="G6" s="36"/>
      <c r="H6" s="477"/>
      <c r="I6" s="477"/>
      <c r="J6" s="477"/>
      <c r="K6" s="477"/>
      <c r="L6" s="477"/>
    </row>
    <row r="7" spans="1:17" ht="43.5" customHeight="1">
      <c r="F7" s="36" t="s">
        <v>1</v>
      </c>
      <c r="G7" s="36"/>
      <c r="H7" s="476"/>
      <c r="I7" s="476"/>
      <c r="J7" s="476"/>
      <c r="K7" s="476"/>
      <c r="L7" s="476"/>
    </row>
    <row r="8" spans="1:17" ht="43.5" customHeight="1">
      <c r="F8" s="36" t="s">
        <v>2</v>
      </c>
      <c r="G8" s="36"/>
      <c r="H8" s="476"/>
      <c r="I8" s="476"/>
      <c r="J8" s="476"/>
      <c r="K8" s="476"/>
      <c r="L8" s="476"/>
    </row>
    <row r="9" spans="1:17" ht="76.5" customHeight="1">
      <c r="A9" s="35"/>
      <c r="B9" s="35"/>
      <c r="C9" s="35"/>
      <c r="D9" s="35"/>
      <c r="E9" s="35"/>
      <c r="F9" s="35"/>
      <c r="G9" s="35"/>
    </row>
    <row r="10" spans="1:17" ht="30" customHeight="1">
      <c r="A10" s="474" t="s">
        <v>126</v>
      </c>
      <c r="B10" s="474"/>
      <c r="C10" s="474"/>
      <c r="D10" s="474"/>
      <c r="E10" s="474"/>
      <c r="F10" s="474"/>
      <c r="G10" s="474"/>
      <c r="H10" s="474"/>
      <c r="I10" s="474"/>
      <c r="J10" s="474"/>
      <c r="K10" s="474"/>
      <c r="L10" s="474"/>
      <c r="M10" s="474"/>
      <c r="N10" s="474"/>
      <c r="O10" s="474"/>
      <c r="P10" s="474"/>
      <c r="Q10" s="474"/>
    </row>
    <row r="11" spans="1:17" ht="25.5" customHeight="1">
      <c r="A11" s="35"/>
      <c r="G11" s="35"/>
      <c r="H11" s="37" t="s">
        <v>3</v>
      </c>
      <c r="I11" s="478" t="s">
        <v>128</v>
      </c>
      <c r="J11" s="478"/>
      <c r="K11" s="478"/>
      <c r="L11" s="478"/>
    </row>
    <row r="12" spans="1:17" ht="25.5" customHeight="1">
      <c r="A12" s="35"/>
      <c r="G12" s="35"/>
      <c r="H12" s="34" t="s">
        <v>4</v>
      </c>
      <c r="I12" s="472" t="s">
        <v>127</v>
      </c>
      <c r="J12" s="472"/>
      <c r="K12" s="472"/>
      <c r="L12" s="472"/>
    </row>
    <row r="13" spans="1:17" ht="43.5" customHeight="1">
      <c r="I13" s="181" t="s">
        <v>237</v>
      </c>
    </row>
  </sheetData>
  <sheetProtection selectLockedCells="1"/>
  <mergeCells count="8">
    <mergeCell ref="I12:L12"/>
    <mergeCell ref="A4:Q4"/>
    <mergeCell ref="A10:Q10"/>
    <mergeCell ref="H2:I2"/>
    <mergeCell ref="H8:L8"/>
    <mergeCell ref="H7:L7"/>
    <mergeCell ref="H6:L6"/>
    <mergeCell ref="I11:L11"/>
  </mergeCells>
  <phoneticPr fontId="1"/>
  <pageMargins left="1.5748031496062993" right="1.5748031496062993" top="1.5748031496062993" bottom="1.5748031496062993" header="0.31496062992125984" footer="0.31496062992125984"/>
  <pageSetup paperSize="9" scale="6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D73A6-55F9-454A-85BA-6C26B30C19F7}">
  <dimension ref="A1:AC73"/>
  <sheetViews>
    <sheetView zoomScale="50" zoomScaleNormal="50" workbookViewId="0">
      <pane xSplit="4" ySplit="9" topLeftCell="E61" activePane="bottomRight" state="frozen"/>
      <selection activeCell="AH69" sqref="AH69"/>
      <selection pane="topRight" activeCell="AH69" sqref="AH69"/>
      <selection pane="bottomLeft" activeCell="AH69" sqref="AH69"/>
      <selection pane="bottomRight" activeCell="W21" sqref="W21"/>
    </sheetView>
  </sheetViews>
  <sheetFormatPr defaultRowHeight="33.75" customHeight="1"/>
  <cols>
    <col min="1" max="1" width="3.625" customWidth="1"/>
    <col min="2" max="2" width="34.375" customWidth="1"/>
    <col min="3" max="3" width="0.375" customWidth="1"/>
    <col min="4" max="4" width="4.625" customWidth="1"/>
    <col min="5" max="7" width="10" customWidth="1"/>
    <col min="8" max="8" width="0.25" customWidth="1"/>
    <col min="9" max="22" width="10" customWidth="1"/>
    <col min="23" max="24" width="10" style="17" customWidth="1"/>
    <col min="25" max="27" width="10" customWidth="1"/>
    <col min="28" max="28" width="0.25" customWidth="1"/>
    <col min="29" max="29" width="14" customWidth="1"/>
  </cols>
  <sheetData>
    <row r="1" spans="1:29" ht="26.25" customHeight="1" thickBot="1">
      <c r="B1" s="4"/>
    </row>
    <row r="2" spans="1:29" ht="15" customHeight="1">
      <c r="A2" s="377" t="s">
        <v>24</v>
      </c>
      <c r="B2" s="380" t="s">
        <v>327</v>
      </c>
      <c r="C2" s="383"/>
      <c r="D2" s="355" t="s">
        <v>189</v>
      </c>
      <c r="E2" s="356"/>
      <c r="F2" s="356"/>
      <c r="G2" s="356"/>
      <c r="H2" s="386"/>
      <c r="I2" s="355" t="s">
        <v>188</v>
      </c>
      <c r="J2" s="356"/>
      <c r="K2" s="356"/>
      <c r="L2" s="356"/>
      <c r="M2" s="356"/>
      <c r="N2" s="356"/>
      <c r="O2" s="356"/>
      <c r="P2" s="356"/>
      <c r="Q2" s="356"/>
      <c r="R2" s="356"/>
      <c r="S2" s="356"/>
      <c r="T2" s="356"/>
      <c r="U2" s="356"/>
      <c r="V2" s="356"/>
      <c r="W2" s="356"/>
      <c r="X2" s="356"/>
      <c r="Y2" s="356"/>
      <c r="Z2" s="356"/>
      <c r="AA2" s="356"/>
      <c r="AB2" s="424"/>
      <c r="AC2" s="445" t="s">
        <v>265</v>
      </c>
    </row>
    <row r="3" spans="1:29" ht="18.75" customHeight="1">
      <c r="A3" s="378"/>
      <c r="B3" s="381"/>
      <c r="C3" s="384"/>
      <c r="D3" s="358"/>
      <c r="E3" s="359"/>
      <c r="F3" s="359"/>
      <c r="G3" s="359"/>
      <c r="H3" s="387"/>
      <c r="I3" s="358"/>
      <c r="J3" s="359"/>
      <c r="K3" s="359"/>
      <c r="L3" s="359"/>
      <c r="M3" s="359"/>
      <c r="N3" s="359"/>
      <c r="O3" s="359"/>
      <c r="P3" s="359"/>
      <c r="Q3" s="359"/>
      <c r="R3" s="359"/>
      <c r="S3" s="359"/>
      <c r="T3" s="359"/>
      <c r="U3" s="359"/>
      <c r="V3" s="359"/>
      <c r="W3" s="359"/>
      <c r="X3" s="359"/>
      <c r="Y3" s="359"/>
      <c r="Z3" s="359"/>
      <c r="AA3" s="359"/>
      <c r="AB3" s="425"/>
      <c r="AC3" s="446"/>
    </row>
    <row r="4" spans="1:29" ht="11.25" customHeight="1">
      <c r="A4" s="378"/>
      <c r="B4" s="382"/>
      <c r="C4" s="385"/>
      <c r="D4" s="361"/>
      <c r="E4" s="362"/>
      <c r="F4" s="362"/>
      <c r="G4" s="362"/>
      <c r="H4" s="388"/>
      <c r="I4" s="361"/>
      <c r="J4" s="362"/>
      <c r="K4" s="362"/>
      <c r="L4" s="362"/>
      <c r="M4" s="362"/>
      <c r="N4" s="362"/>
      <c r="O4" s="362"/>
      <c r="P4" s="362"/>
      <c r="Q4" s="362"/>
      <c r="R4" s="362"/>
      <c r="S4" s="362"/>
      <c r="T4" s="362"/>
      <c r="U4" s="362"/>
      <c r="V4" s="362"/>
      <c r="W4" s="362"/>
      <c r="X4" s="362"/>
      <c r="Y4" s="362"/>
      <c r="Z4" s="362"/>
      <c r="AA4" s="362"/>
      <c r="AB4" s="434"/>
      <c r="AC4" s="447" t="s">
        <v>49</v>
      </c>
    </row>
    <row r="5" spans="1:29" ht="2.25" customHeight="1">
      <c r="A5" s="378"/>
      <c r="B5" s="38"/>
      <c r="C5" s="3"/>
      <c r="D5" s="204"/>
      <c r="E5" s="397"/>
      <c r="F5" s="398"/>
      <c r="G5" s="398"/>
      <c r="H5" s="3"/>
      <c r="I5" s="397"/>
      <c r="J5" s="398"/>
      <c r="K5" s="398"/>
      <c r="L5" s="398"/>
      <c r="M5" s="398"/>
      <c r="N5" s="398"/>
      <c r="O5" s="398"/>
      <c r="P5" s="398"/>
      <c r="Q5" s="398"/>
      <c r="R5" s="398"/>
      <c r="S5" s="398"/>
      <c r="T5" s="398"/>
      <c r="U5" s="398"/>
      <c r="V5" s="398"/>
      <c r="W5" s="398"/>
      <c r="X5" s="398"/>
      <c r="Y5" s="398"/>
      <c r="Z5" s="398"/>
      <c r="AA5" s="398"/>
      <c r="AB5" s="435"/>
      <c r="AC5" s="448"/>
    </row>
    <row r="6" spans="1:29" s="201" customFormat="1" ht="15" customHeight="1">
      <c r="A6" s="378"/>
      <c r="B6" s="389" t="s">
        <v>51</v>
      </c>
      <c r="C6" s="391"/>
      <c r="D6" s="391"/>
      <c r="E6" s="391" t="s">
        <v>26</v>
      </c>
      <c r="F6" s="391" t="str">
        <f>雑収入</f>
        <v>雑収入</v>
      </c>
      <c r="G6" s="444" t="s">
        <v>27</v>
      </c>
      <c r="H6" s="391"/>
      <c r="I6" s="199" t="s">
        <v>28</v>
      </c>
      <c r="J6" s="391" t="str">
        <f>租税公課</f>
        <v>租税公課</v>
      </c>
      <c r="K6" s="391" t="s">
        <v>101</v>
      </c>
      <c r="L6" s="391" t="s">
        <v>6</v>
      </c>
      <c r="M6" s="364" t="str">
        <f>通信費</f>
        <v>通信費</v>
      </c>
      <c r="N6" s="391" t="s">
        <v>8</v>
      </c>
      <c r="O6" s="391" t="s">
        <v>9</v>
      </c>
      <c r="P6" s="391" t="s">
        <v>10</v>
      </c>
      <c r="Q6" s="364" t="str">
        <f>修繕費</f>
        <v>修繕費</v>
      </c>
      <c r="R6" s="391" t="str">
        <f>消耗品費</f>
        <v>消耗品費</v>
      </c>
      <c r="S6" s="391" t="s">
        <v>97</v>
      </c>
      <c r="T6" s="391" t="str">
        <f>給料賃金</f>
        <v>給料賃金</v>
      </c>
      <c r="U6" s="391" t="str">
        <f>外注工賃</f>
        <v>外注工賃</v>
      </c>
      <c r="V6" s="391" t="s">
        <v>16</v>
      </c>
      <c r="W6" s="364" t="str">
        <f>車両費</f>
        <v>車両費</v>
      </c>
      <c r="X6" s="484" t="str">
        <f>空欄1</f>
        <v>空欄1</v>
      </c>
      <c r="Y6" s="391" t="str">
        <f>空欄2</f>
        <v>空欄2</v>
      </c>
      <c r="Z6" s="391" t="str">
        <f>雑費</f>
        <v>雑費</v>
      </c>
      <c r="AA6" s="200" t="s">
        <v>143</v>
      </c>
      <c r="AB6" s="425"/>
      <c r="AC6" s="446"/>
    </row>
    <row r="7" spans="1:29" s="201" customFormat="1" ht="7.5" customHeight="1">
      <c r="A7" s="378"/>
      <c r="B7" s="387"/>
      <c r="C7" s="392"/>
      <c r="D7" s="392"/>
      <c r="E7" s="392"/>
      <c r="F7" s="392"/>
      <c r="G7" s="426"/>
      <c r="H7" s="392"/>
      <c r="I7" s="366" t="s">
        <v>38</v>
      </c>
      <c r="J7" s="392"/>
      <c r="K7" s="392"/>
      <c r="L7" s="392"/>
      <c r="M7" s="366"/>
      <c r="N7" s="392"/>
      <c r="O7" s="392"/>
      <c r="P7" s="392"/>
      <c r="Q7" s="366"/>
      <c r="R7" s="392"/>
      <c r="S7" s="392"/>
      <c r="T7" s="392"/>
      <c r="U7" s="392"/>
      <c r="V7" s="392"/>
      <c r="W7" s="366"/>
      <c r="X7" s="485"/>
      <c r="Y7" s="392"/>
      <c r="Z7" s="392"/>
      <c r="AA7" s="426" t="s">
        <v>98</v>
      </c>
      <c r="AB7" s="391"/>
      <c r="AC7" s="457"/>
    </row>
    <row r="8" spans="1:29" s="201" customFormat="1" ht="7.5" customHeight="1">
      <c r="A8" s="378"/>
      <c r="B8" s="387"/>
      <c r="C8" s="392"/>
      <c r="D8" s="392"/>
      <c r="E8" s="392" t="s">
        <v>36</v>
      </c>
      <c r="F8" s="392"/>
      <c r="G8" s="426" t="s">
        <v>37</v>
      </c>
      <c r="H8" s="392"/>
      <c r="I8" s="366"/>
      <c r="J8" s="392"/>
      <c r="K8" s="392"/>
      <c r="L8" s="392"/>
      <c r="M8" s="366"/>
      <c r="N8" s="392"/>
      <c r="O8" s="392"/>
      <c r="P8" s="392"/>
      <c r="Q8" s="366"/>
      <c r="R8" s="392"/>
      <c r="S8" s="392"/>
      <c r="T8" s="392"/>
      <c r="U8" s="392"/>
      <c r="V8" s="392"/>
      <c r="W8" s="366"/>
      <c r="X8" s="485"/>
      <c r="Y8" s="392"/>
      <c r="Z8" s="392"/>
      <c r="AA8" s="426"/>
      <c r="AB8" s="392"/>
      <c r="AC8" s="458"/>
    </row>
    <row r="9" spans="1:29" s="201" customFormat="1" ht="15" customHeight="1" thickBot="1">
      <c r="A9" s="379"/>
      <c r="B9" s="390"/>
      <c r="C9" s="393"/>
      <c r="D9" s="393"/>
      <c r="E9" s="393"/>
      <c r="F9" s="393"/>
      <c r="G9" s="416"/>
      <c r="H9" s="393"/>
      <c r="I9" s="202" t="s">
        <v>50</v>
      </c>
      <c r="J9" s="393"/>
      <c r="K9" s="393"/>
      <c r="L9" s="393"/>
      <c r="M9" s="368"/>
      <c r="N9" s="393"/>
      <c r="O9" s="393"/>
      <c r="P9" s="393"/>
      <c r="Q9" s="368"/>
      <c r="R9" s="393"/>
      <c r="S9" s="393"/>
      <c r="T9" s="393"/>
      <c r="U9" s="393"/>
      <c r="V9" s="393"/>
      <c r="W9" s="368"/>
      <c r="X9" s="486"/>
      <c r="Y9" s="393"/>
      <c r="Z9" s="393"/>
      <c r="AA9" s="203" t="s">
        <v>231</v>
      </c>
      <c r="AB9" s="392"/>
      <c r="AC9" s="458"/>
    </row>
    <row r="10" spans="1:29" s="7" customFormat="1" ht="33.75" customHeight="1">
      <c r="A10" s="455">
        <v>1</v>
      </c>
      <c r="B10" s="481"/>
      <c r="C10" s="13"/>
      <c r="D10" s="273" t="s">
        <v>177</v>
      </c>
      <c r="E10" s="216"/>
      <c r="F10" s="217"/>
      <c r="G10" s="217"/>
      <c r="H10" s="218"/>
      <c r="I10" s="217"/>
      <c r="J10" s="218"/>
      <c r="K10" s="217"/>
      <c r="L10" s="218"/>
      <c r="M10" s="217"/>
      <c r="N10" s="218"/>
      <c r="O10" s="217"/>
      <c r="P10" s="218"/>
      <c r="Q10" s="217"/>
      <c r="R10" s="218"/>
      <c r="S10" s="217"/>
      <c r="T10" s="218"/>
      <c r="U10" s="217"/>
      <c r="V10" s="217"/>
      <c r="W10" s="217"/>
      <c r="X10" s="219"/>
      <c r="Y10" s="217"/>
      <c r="Z10" s="217"/>
      <c r="AA10" s="217"/>
      <c r="AB10" s="196"/>
      <c r="AC10" s="460">
        <f>SUM($E11:$G11)-SUM($I11:$AA11)+$AC$7</f>
        <v>0</v>
      </c>
    </row>
    <row r="11" spans="1:29" s="7" customFormat="1" ht="33.75" customHeight="1" thickBot="1">
      <c r="A11" s="459"/>
      <c r="B11" s="487"/>
      <c r="C11" s="15"/>
      <c r="D11" s="274" t="s">
        <v>105</v>
      </c>
      <c r="E11" s="277"/>
      <c r="F11" s="278"/>
      <c r="G11" s="278"/>
      <c r="H11" s="276"/>
      <c r="I11" s="278"/>
      <c r="J11" s="276"/>
      <c r="K11" s="278"/>
      <c r="L11" s="276"/>
      <c r="M11" s="278"/>
      <c r="N11" s="276"/>
      <c r="O11" s="278"/>
      <c r="P11" s="276"/>
      <c r="Q11" s="278"/>
      <c r="R11" s="276"/>
      <c r="S11" s="278"/>
      <c r="T11" s="276"/>
      <c r="U11" s="278"/>
      <c r="V11" s="278"/>
      <c r="W11" s="278"/>
      <c r="X11" s="284"/>
      <c r="Y11" s="278"/>
      <c r="Z11" s="278"/>
      <c r="AA11" s="278"/>
      <c r="AB11" s="197"/>
      <c r="AC11" s="454"/>
    </row>
    <row r="12" spans="1:29" s="7" customFormat="1" ht="33.75" customHeight="1">
      <c r="A12" s="449">
        <v>2</v>
      </c>
      <c r="B12" s="483"/>
      <c r="C12" s="13"/>
      <c r="D12" s="273" t="s">
        <v>177</v>
      </c>
      <c r="E12" s="216"/>
      <c r="F12" s="217"/>
      <c r="G12" s="217"/>
      <c r="H12" s="218"/>
      <c r="I12" s="218"/>
      <c r="J12" s="218"/>
      <c r="K12" s="218"/>
      <c r="L12" s="218"/>
      <c r="M12" s="218"/>
      <c r="N12" s="218"/>
      <c r="O12" s="218"/>
      <c r="P12" s="218"/>
      <c r="Q12" s="218"/>
      <c r="R12" s="218"/>
      <c r="S12" s="218"/>
      <c r="T12" s="218"/>
      <c r="U12" s="218"/>
      <c r="V12" s="218"/>
      <c r="W12" s="218"/>
      <c r="X12" s="221"/>
      <c r="Y12" s="218"/>
      <c r="Z12" s="218"/>
      <c r="AA12" s="218"/>
      <c r="AB12" s="196"/>
      <c r="AC12" s="453">
        <f>SUM($E13:$G13)-SUM($I13:$AA13)+$AC10</f>
        <v>0</v>
      </c>
    </row>
    <row r="13" spans="1:29" s="7" customFormat="1" ht="33.75" customHeight="1" thickBot="1">
      <c r="A13" s="450"/>
      <c r="B13" s="482"/>
      <c r="C13" s="15"/>
      <c r="D13" s="274" t="s">
        <v>105</v>
      </c>
      <c r="E13" s="277"/>
      <c r="F13" s="278"/>
      <c r="G13" s="278"/>
      <c r="H13" s="276"/>
      <c r="I13" s="276"/>
      <c r="J13" s="276"/>
      <c r="K13" s="276"/>
      <c r="L13" s="276"/>
      <c r="M13" s="276"/>
      <c r="N13" s="276"/>
      <c r="O13" s="276"/>
      <c r="P13" s="276"/>
      <c r="Q13" s="276"/>
      <c r="R13" s="276"/>
      <c r="S13" s="276"/>
      <c r="T13" s="276"/>
      <c r="U13" s="276"/>
      <c r="V13" s="276"/>
      <c r="W13" s="276"/>
      <c r="X13" s="279"/>
      <c r="Y13" s="276"/>
      <c r="Z13" s="276"/>
      <c r="AA13" s="276"/>
      <c r="AB13" s="197"/>
      <c r="AC13" s="454"/>
    </row>
    <row r="14" spans="1:29" s="7" customFormat="1" ht="33.75" customHeight="1">
      <c r="A14" s="455">
        <v>3</v>
      </c>
      <c r="B14" s="481"/>
      <c r="C14" s="13"/>
      <c r="D14" s="273" t="s">
        <v>177</v>
      </c>
      <c r="E14" s="216"/>
      <c r="F14" s="217"/>
      <c r="G14" s="217"/>
      <c r="H14" s="218"/>
      <c r="I14" s="218"/>
      <c r="J14" s="218"/>
      <c r="K14" s="218"/>
      <c r="L14" s="218"/>
      <c r="M14" s="218"/>
      <c r="N14" s="218"/>
      <c r="O14" s="218"/>
      <c r="P14" s="218"/>
      <c r="Q14" s="218"/>
      <c r="R14" s="218"/>
      <c r="S14" s="218"/>
      <c r="T14" s="218"/>
      <c r="U14" s="218"/>
      <c r="V14" s="218"/>
      <c r="W14" s="218"/>
      <c r="X14" s="221"/>
      <c r="Y14" s="218"/>
      <c r="Z14" s="218"/>
      <c r="AA14" s="218"/>
      <c r="AB14" s="196"/>
      <c r="AC14" s="453">
        <f>SUM($E15:$G15)-SUM($I15:$AA15)+$AC12</f>
        <v>0</v>
      </c>
    </row>
    <row r="15" spans="1:29" s="7" customFormat="1" ht="33.75" customHeight="1" thickBot="1">
      <c r="A15" s="456"/>
      <c r="B15" s="482"/>
      <c r="C15" s="15"/>
      <c r="D15" s="274" t="s">
        <v>105</v>
      </c>
      <c r="E15" s="277"/>
      <c r="F15" s="278"/>
      <c r="G15" s="278"/>
      <c r="H15" s="276"/>
      <c r="I15" s="276"/>
      <c r="J15" s="276"/>
      <c r="K15" s="276"/>
      <c r="L15" s="276"/>
      <c r="M15" s="276"/>
      <c r="N15" s="276"/>
      <c r="O15" s="276"/>
      <c r="P15" s="276"/>
      <c r="Q15" s="276"/>
      <c r="R15" s="276"/>
      <c r="S15" s="276"/>
      <c r="T15" s="276"/>
      <c r="U15" s="276"/>
      <c r="V15" s="276"/>
      <c r="W15" s="276"/>
      <c r="X15" s="279"/>
      <c r="Y15" s="276"/>
      <c r="Z15" s="276"/>
      <c r="AA15" s="276"/>
      <c r="AB15" s="197"/>
      <c r="AC15" s="454"/>
    </row>
    <row r="16" spans="1:29" s="7" customFormat="1" ht="33.75" customHeight="1">
      <c r="A16" s="464">
        <v>4</v>
      </c>
      <c r="B16" s="481"/>
      <c r="C16" s="13"/>
      <c r="D16" s="273" t="s">
        <v>177</v>
      </c>
      <c r="E16" s="216"/>
      <c r="F16" s="217"/>
      <c r="G16" s="217"/>
      <c r="H16" s="218"/>
      <c r="I16" s="218"/>
      <c r="J16" s="218"/>
      <c r="K16" s="218"/>
      <c r="L16" s="218"/>
      <c r="M16" s="218"/>
      <c r="N16" s="218"/>
      <c r="O16" s="218"/>
      <c r="P16" s="218"/>
      <c r="Q16" s="218"/>
      <c r="R16" s="218"/>
      <c r="S16" s="218"/>
      <c r="T16" s="218"/>
      <c r="U16" s="218"/>
      <c r="V16" s="218"/>
      <c r="W16" s="218"/>
      <c r="X16" s="221"/>
      <c r="Y16" s="218"/>
      <c r="Z16" s="218"/>
      <c r="AA16" s="218"/>
      <c r="AB16" s="196"/>
      <c r="AC16" s="453">
        <f t="shared" ref="AC16" si="0">SUM($E17:$G17)-SUM($I17:$AA17)+$AC14</f>
        <v>0</v>
      </c>
    </row>
    <row r="17" spans="1:29" s="7" customFormat="1" ht="33.75" customHeight="1" thickBot="1">
      <c r="A17" s="450"/>
      <c r="B17" s="482"/>
      <c r="C17" s="15"/>
      <c r="D17" s="274" t="s">
        <v>105</v>
      </c>
      <c r="E17" s="277"/>
      <c r="F17" s="278"/>
      <c r="G17" s="278"/>
      <c r="H17" s="276"/>
      <c r="I17" s="276"/>
      <c r="J17" s="276"/>
      <c r="K17" s="276"/>
      <c r="L17" s="276"/>
      <c r="M17" s="276"/>
      <c r="N17" s="276"/>
      <c r="O17" s="276"/>
      <c r="P17" s="276"/>
      <c r="Q17" s="276"/>
      <c r="R17" s="276"/>
      <c r="S17" s="276"/>
      <c r="T17" s="276"/>
      <c r="U17" s="276"/>
      <c r="V17" s="276"/>
      <c r="W17" s="276"/>
      <c r="X17" s="279"/>
      <c r="Y17" s="276"/>
      <c r="Z17" s="276"/>
      <c r="AA17" s="276"/>
      <c r="AB17" s="197"/>
      <c r="AC17" s="454"/>
    </row>
    <row r="18" spans="1:29" s="7" customFormat="1" ht="33.75" customHeight="1">
      <c r="A18" s="455">
        <v>5</v>
      </c>
      <c r="B18" s="481"/>
      <c r="C18" s="13"/>
      <c r="D18" s="273" t="s">
        <v>177</v>
      </c>
      <c r="E18" s="216"/>
      <c r="F18" s="217"/>
      <c r="G18" s="217"/>
      <c r="H18" s="218"/>
      <c r="I18" s="218"/>
      <c r="J18" s="218"/>
      <c r="K18" s="218"/>
      <c r="L18" s="218"/>
      <c r="M18" s="218"/>
      <c r="N18" s="218"/>
      <c r="O18" s="218"/>
      <c r="P18" s="218"/>
      <c r="Q18" s="218"/>
      <c r="R18" s="218"/>
      <c r="S18" s="218"/>
      <c r="T18" s="218"/>
      <c r="U18" s="218"/>
      <c r="V18" s="218"/>
      <c r="W18" s="218"/>
      <c r="X18" s="221"/>
      <c r="Y18" s="218"/>
      <c r="Z18" s="218"/>
      <c r="AA18" s="218"/>
      <c r="AB18" s="196"/>
      <c r="AC18" s="453">
        <f t="shared" ref="AC18" si="1">SUM($E19:$G19)-SUM($I19:$AA19)+$AC16</f>
        <v>0</v>
      </c>
    </row>
    <row r="19" spans="1:29" s="7" customFormat="1" ht="33.75" customHeight="1" thickBot="1">
      <c r="A19" s="456"/>
      <c r="B19" s="482"/>
      <c r="C19" s="15"/>
      <c r="D19" s="274" t="s">
        <v>105</v>
      </c>
      <c r="E19" s="277"/>
      <c r="F19" s="278"/>
      <c r="G19" s="278"/>
      <c r="H19" s="276"/>
      <c r="I19" s="276"/>
      <c r="J19" s="276"/>
      <c r="K19" s="276"/>
      <c r="L19" s="276"/>
      <c r="M19" s="276"/>
      <c r="N19" s="276"/>
      <c r="O19" s="276"/>
      <c r="P19" s="276"/>
      <c r="Q19" s="276"/>
      <c r="R19" s="276"/>
      <c r="S19" s="276"/>
      <c r="T19" s="276"/>
      <c r="U19" s="276"/>
      <c r="V19" s="276"/>
      <c r="W19" s="276"/>
      <c r="X19" s="279"/>
      <c r="Y19" s="276"/>
      <c r="Z19" s="276"/>
      <c r="AA19" s="276"/>
      <c r="AB19" s="197"/>
      <c r="AC19" s="454"/>
    </row>
    <row r="20" spans="1:29" s="7" customFormat="1" ht="33.75" customHeight="1">
      <c r="A20" s="464">
        <v>6</v>
      </c>
      <c r="B20" s="481"/>
      <c r="C20" s="13"/>
      <c r="D20" s="273" t="s">
        <v>177</v>
      </c>
      <c r="E20" s="216"/>
      <c r="F20" s="217"/>
      <c r="G20" s="217"/>
      <c r="H20" s="218"/>
      <c r="I20" s="218"/>
      <c r="J20" s="218"/>
      <c r="K20" s="218"/>
      <c r="L20" s="218"/>
      <c r="M20" s="218"/>
      <c r="N20" s="218"/>
      <c r="O20" s="218"/>
      <c r="P20" s="218"/>
      <c r="Q20" s="218"/>
      <c r="R20" s="218"/>
      <c r="S20" s="218"/>
      <c r="T20" s="218"/>
      <c r="U20" s="218"/>
      <c r="V20" s="218"/>
      <c r="W20" s="218"/>
      <c r="X20" s="221"/>
      <c r="Y20" s="218"/>
      <c r="Z20" s="218"/>
      <c r="AA20" s="218"/>
      <c r="AB20" s="196"/>
      <c r="AC20" s="453">
        <f t="shared" ref="AC20" si="2">SUM($E21:$G21)-SUM($I21:$AA21)+$AC18</f>
        <v>0</v>
      </c>
    </row>
    <row r="21" spans="1:29" s="7" customFormat="1" ht="33.75" customHeight="1" thickBot="1">
      <c r="A21" s="450"/>
      <c r="B21" s="482"/>
      <c r="C21" s="15"/>
      <c r="D21" s="274" t="s">
        <v>105</v>
      </c>
      <c r="E21" s="277"/>
      <c r="F21" s="278"/>
      <c r="G21" s="278"/>
      <c r="H21" s="276"/>
      <c r="I21" s="276"/>
      <c r="J21" s="276"/>
      <c r="K21" s="276"/>
      <c r="L21" s="276"/>
      <c r="M21" s="276"/>
      <c r="N21" s="276"/>
      <c r="O21" s="276"/>
      <c r="P21" s="276"/>
      <c r="Q21" s="276"/>
      <c r="R21" s="276"/>
      <c r="S21" s="276"/>
      <c r="T21" s="276"/>
      <c r="U21" s="276"/>
      <c r="V21" s="276"/>
      <c r="W21" s="276"/>
      <c r="X21" s="279"/>
      <c r="Y21" s="276"/>
      <c r="Z21" s="276"/>
      <c r="AA21" s="276"/>
      <c r="AB21" s="197"/>
      <c r="AC21" s="454"/>
    </row>
    <row r="22" spans="1:29" s="7" customFormat="1" ht="33.75" customHeight="1">
      <c r="A22" s="455">
        <v>7</v>
      </c>
      <c r="B22" s="481"/>
      <c r="C22" s="13"/>
      <c r="D22" s="273" t="s">
        <v>177</v>
      </c>
      <c r="E22" s="216"/>
      <c r="F22" s="217"/>
      <c r="G22" s="217"/>
      <c r="H22" s="218"/>
      <c r="I22" s="218"/>
      <c r="J22" s="218"/>
      <c r="K22" s="218"/>
      <c r="L22" s="218"/>
      <c r="M22" s="218"/>
      <c r="N22" s="218"/>
      <c r="O22" s="218"/>
      <c r="P22" s="218"/>
      <c r="Q22" s="218"/>
      <c r="R22" s="218"/>
      <c r="S22" s="218"/>
      <c r="T22" s="218"/>
      <c r="U22" s="218"/>
      <c r="V22" s="218"/>
      <c r="W22" s="218"/>
      <c r="X22" s="221"/>
      <c r="Y22" s="218"/>
      <c r="Z22" s="218"/>
      <c r="AA22" s="218"/>
      <c r="AB22" s="196"/>
      <c r="AC22" s="453">
        <f t="shared" ref="AC22" si="3">SUM($E23:$G23)-SUM($I23:$AA23)+$AC20</f>
        <v>0</v>
      </c>
    </row>
    <row r="23" spans="1:29" s="7" customFormat="1" ht="33.75" customHeight="1" thickBot="1">
      <c r="A23" s="456"/>
      <c r="B23" s="482"/>
      <c r="C23" s="15"/>
      <c r="D23" s="274" t="s">
        <v>105</v>
      </c>
      <c r="E23" s="277"/>
      <c r="F23" s="278"/>
      <c r="G23" s="278"/>
      <c r="H23" s="276"/>
      <c r="I23" s="276"/>
      <c r="J23" s="276"/>
      <c r="K23" s="276"/>
      <c r="L23" s="276"/>
      <c r="M23" s="276"/>
      <c r="N23" s="276"/>
      <c r="O23" s="276"/>
      <c r="P23" s="276"/>
      <c r="Q23" s="276"/>
      <c r="R23" s="276"/>
      <c r="S23" s="276"/>
      <c r="T23" s="276"/>
      <c r="U23" s="276"/>
      <c r="V23" s="276"/>
      <c r="W23" s="276"/>
      <c r="X23" s="279"/>
      <c r="Y23" s="276"/>
      <c r="Z23" s="276"/>
      <c r="AA23" s="276"/>
      <c r="AB23" s="197"/>
      <c r="AC23" s="454"/>
    </row>
    <row r="24" spans="1:29" s="7" customFormat="1" ht="33.75" customHeight="1">
      <c r="A24" s="464">
        <v>8</v>
      </c>
      <c r="B24" s="481"/>
      <c r="C24" s="13"/>
      <c r="D24" s="273" t="s">
        <v>177</v>
      </c>
      <c r="E24" s="216"/>
      <c r="F24" s="217"/>
      <c r="G24" s="217"/>
      <c r="H24" s="218"/>
      <c r="I24" s="218"/>
      <c r="J24" s="218"/>
      <c r="K24" s="218"/>
      <c r="L24" s="218"/>
      <c r="M24" s="218"/>
      <c r="N24" s="218"/>
      <c r="O24" s="218"/>
      <c r="P24" s="218"/>
      <c r="Q24" s="218"/>
      <c r="R24" s="218"/>
      <c r="S24" s="218"/>
      <c r="T24" s="218"/>
      <c r="U24" s="218"/>
      <c r="V24" s="218"/>
      <c r="W24" s="218"/>
      <c r="X24" s="221"/>
      <c r="Y24" s="218"/>
      <c r="Z24" s="218"/>
      <c r="AA24" s="218"/>
      <c r="AB24" s="196"/>
      <c r="AC24" s="453">
        <f t="shared" ref="AC24" si="4">SUM($E25:$G25)-SUM($I25:$AA25)+$AC22</f>
        <v>0</v>
      </c>
    </row>
    <row r="25" spans="1:29" s="7" customFormat="1" ht="33.75" customHeight="1" thickBot="1">
      <c r="A25" s="450"/>
      <c r="B25" s="482"/>
      <c r="C25" s="15"/>
      <c r="D25" s="274" t="s">
        <v>105</v>
      </c>
      <c r="E25" s="277"/>
      <c r="F25" s="278"/>
      <c r="G25" s="278"/>
      <c r="H25" s="276"/>
      <c r="I25" s="276"/>
      <c r="J25" s="276"/>
      <c r="K25" s="276"/>
      <c r="L25" s="276"/>
      <c r="M25" s="276"/>
      <c r="N25" s="276"/>
      <c r="O25" s="276"/>
      <c r="P25" s="276"/>
      <c r="Q25" s="276"/>
      <c r="R25" s="276"/>
      <c r="S25" s="276"/>
      <c r="T25" s="276"/>
      <c r="U25" s="276"/>
      <c r="V25" s="276"/>
      <c r="W25" s="276"/>
      <c r="X25" s="279"/>
      <c r="Y25" s="276"/>
      <c r="Z25" s="276"/>
      <c r="AA25" s="276"/>
      <c r="AB25" s="197"/>
      <c r="AC25" s="454"/>
    </row>
    <row r="26" spans="1:29" s="7" customFormat="1" ht="33.75" customHeight="1">
      <c r="A26" s="455">
        <v>9</v>
      </c>
      <c r="B26" s="481"/>
      <c r="C26" s="13"/>
      <c r="D26" s="273" t="s">
        <v>177</v>
      </c>
      <c r="E26" s="216"/>
      <c r="F26" s="217"/>
      <c r="G26" s="217"/>
      <c r="H26" s="218"/>
      <c r="I26" s="218"/>
      <c r="J26" s="218"/>
      <c r="K26" s="218"/>
      <c r="L26" s="218"/>
      <c r="M26" s="218"/>
      <c r="N26" s="218"/>
      <c r="O26" s="218"/>
      <c r="P26" s="218"/>
      <c r="Q26" s="218"/>
      <c r="R26" s="218"/>
      <c r="S26" s="218"/>
      <c r="T26" s="218"/>
      <c r="U26" s="218"/>
      <c r="V26" s="218"/>
      <c r="W26" s="218"/>
      <c r="X26" s="221"/>
      <c r="Y26" s="218"/>
      <c r="Z26" s="218"/>
      <c r="AA26" s="218"/>
      <c r="AB26" s="196"/>
      <c r="AC26" s="453">
        <f t="shared" ref="AC26" si="5">SUM($E27:$G27)-SUM($I27:$AA27)+$AC24</f>
        <v>0</v>
      </c>
    </row>
    <row r="27" spans="1:29" s="7" customFormat="1" ht="33.75" customHeight="1" thickBot="1">
      <c r="A27" s="456"/>
      <c r="B27" s="482"/>
      <c r="C27" s="15"/>
      <c r="D27" s="274" t="s">
        <v>105</v>
      </c>
      <c r="E27" s="277"/>
      <c r="F27" s="278"/>
      <c r="G27" s="278"/>
      <c r="H27" s="276"/>
      <c r="I27" s="276"/>
      <c r="J27" s="276"/>
      <c r="K27" s="276"/>
      <c r="L27" s="276"/>
      <c r="M27" s="276"/>
      <c r="N27" s="276"/>
      <c r="O27" s="276"/>
      <c r="P27" s="276"/>
      <c r="Q27" s="276"/>
      <c r="R27" s="276"/>
      <c r="S27" s="276"/>
      <c r="T27" s="276"/>
      <c r="U27" s="276"/>
      <c r="V27" s="276"/>
      <c r="W27" s="276"/>
      <c r="X27" s="279"/>
      <c r="Y27" s="276"/>
      <c r="Z27" s="276"/>
      <c r="AA27" s="276"/>
      <c r="AB27" s="197"/>
      <c r="AC27" s="454"/>
    </row>
    <row r="28" spans="1:29" s="7" customFormat="1" ht="33.75" customHeight="1">
      <c r="A28" s="464">
        <v>10</v>
      </c>
      <c r="B28" s="481"/>
      <c r="C28" s="13"/>
      <c r="D28" s="273" t="s">
        <v>177</v>
      </c>
      <c r="E28" s="216"/>
      <c r="F28" s="217"/>
      <c r="G28" s="217"/>
      <c r="H28" s="218"/>
      <c r="I28" s="218"/>
      <c r="J28" s="218"/>
      <c r="K28" s="218"/>
      <c r="L28" s="218"/>
      <c r="M28" s="218"/>
      <c r="N28" s="218"/>
      <c r="O28" s="218"/>
      <c r="P28" s="218"/>
      <c r="Q28" s="218"/>
      <c r="R28" s="218"/>
      <c r="S28" s="218"/>
      <c r="T28" s="218"/>
      <c r="U28" s="218"/>
      <c r="V28" s="218"/>
      <c r="W28" s="218"/>
      <c r="X28" s="221"/>
      <c r="Y28" s="218"/>
      <c r="Z28" s="218"/>
      <c r="AA28" s="218"/>
      <c r="AB28" s="196"/>
      <c r="AC28" s="453">
        <f t="shared" ref="AC28" si="6">SUM($E29:$G29)-SUM($I29:$AA29)+$AC26</f>
        <v>0</v>
      </c>
    </row>
    <row r="29" spans="1:29" s="7" customFormat="1" ht="33.75" customHeight="1" thickBot="1">
      <c r="A29" s="450"/>
      <c r="B29" s="482"/>
      <c r="C29" s="15"/>
      <c r="D29" s="274" t="s">
        <v>105</v>
      </c>
      <c r="E29" s="277"/>
      <c r="F29" s="278"/>
      <c r="G29" s="278"/>
      <c r="H29" s="276"/>
      <c r="I29" s="276"/>
      <c r="J29" s="276"/>
      <c r="K29" s="276"/>
      <c r="L29" s="276"/>
      <c r="M29" s="276"/>
      <c r="N29" s="276"/>
      <c r="O29" s="276"/>
      <c r="P29" s="276"/>
      <c r="Q29" s="276"/>
      <c r="R29" s="276"/>
      <c r="S29" s="276"/>
      <c r="T29" s="276"/>
      <c r="U29" s="276"/>
      <c r="V29" s="276"/>
      <c r="W29" s="276"/>
      <c r="X29" s="279"/>
      <c r="Y29" s="276"/>
      <c r="Z29" s="276"/>
      <c r="AA29" s="276"/>
      <c r="AB29" s="197"/>
      <c r="AC29" s="454"/>
    </row>
    <row r="30" spans="1:29" s="7" customFormat="1" ht="33.75" customHeight="1">
      <c r="A30" s="455">
        <v>11</v>
      </c>
      <c r="B30" s="481"/>
      <c r="C30" s="13"/>
      <c r="D30" s="273" t="s">
        <v>177</v>
      </c>
      <c r="E30" s="216"/>
      <c r="F30" s="217"/>
      <c r="G30" s="217"/>
      <c r="H30" s="218"/>
      <c r="I30" s="218"/>
      <c r="J30" s="218"/>
      <c r="K30" s="218"/>
      <c r="L30" s="218"/>
      <c r="M30" s="218"/>
      <c r="N30" s="218"/>
      <c r="O30" s="218"/>
      <c r="P30" s="218"/>
      <c r="Q30" s="218"/>
      <c r="R30" s="218"/>
      <c r="S30" s="218"/>
      <c r="T30" s="218"/>
      <c r="U30" s="218"/>
      <c r="V30" s="218"/>
      <c r="W30" s="218"/>
      <c r="X30" s="221"/>
      <c r="Y30" s="218"/>
      <c r="Z30" s="218"/>
      <c r="AA30" s="218"/>
      <c r="AB30" s="196"/>
      <c r="AC30" s="453">
        <f t="shared" ref="AC30" si="7">SUM($E31:$G31)-SUM($I31:$AA31)+$AC28</f>
        <v>0</v>
      </c>
    </row>
    <row r="31" spans="1:29" s="7" customFormat="1" ht="33.75" customHeight="1" thickBot="1">
      <c r="A31" s="456"/>
      <c r="B31" s="482"/>
      <c r="C31" s="15"/>
      <c r="D31" s="274" t="s">
        <v>105</v>
      </c>
      <c r="E31" s="277"/>
      <c r="F31" s="278"/>
      <c r="G31" s="278"/>
      <c r="H31" s="276"/>
      <c r="I31" s="276"/>
      <c r="J31" s="276"/>
      <c r="K31" s="276"/>
      <c r="L31" s="276"/>
      <c r="M31" s="276"/>
      <c r="N31" s="276"/>
      <c r="O31" s="276"/>
      <c r="P31" s="276"/>
      <c r="Q31" s="276"/>
      <c r="R31" s="276"/>
      <c r="S31" s="276"/>
      <c r="T31" s="276"/>
      <c r="U31" s="276"/>
      <c r="V31" s="276"/>
      <c r="W31" s="276"/>
      <c r="X31" s="279"/>
      <c r="Y31" s="276"/>
      <c r="Z31" s="276"/>
      <c r="AA31" s="276"/>
      <c r="AB31" s="197"/>
      <c r="AC31" s="454"/>
    </row>
    <row r="32" spans="1:29" s="7" customFormat="1" ht="33.75" customHeight="1">
      <c r="A32" s="464">
        <v>12</v>
      </c>
      <c r="B32" s="481"/>
      <c r="C32" s="13"/>
      <c r="D32" s="273" t="s">
        <v>177</v>
      </c>
      <c r="E32" s="216"/>
      <c r="F32" s="217"/>
      <c r="G32" s="217"/>
      <c r="H32" s="218"/>
      <c r="I32" s="218"/>
      <c r="J32" s="218"/>
      <c r="K32" s="218"/>
      <c r="L32" s="218"/>
      <c r="M32" s="218"/>
      <c r="N32" s="218"/>
      <c r="O32" s="218"/>
      <c r="P32" s="218"/>
      <c r="Q32" s="218"/>
      <c r="R32" s="218"/>
      <c r="S32" s="218"/>
      <c r="T32" s="218"/>
      <c r="U32" s="218"/>
      <c r="V32" s="218"/>
      <c r="W32" s="218"/>
      <c r="X32" s="221"/>
      <c r="Y32" s="218"/>
      <c r="Z32" s="218"/>
      <c r="AA32" s="218"/>
      <c r="AB32" s="196"/>
      <c r="AC32" s="453">
        <f t="shared" ref="AC32" si="8">SUM($E33:$G33)-SUM($I33:$AA33)+$AC30</f>
        <v>0</v>
      </c>
    </row>
    <row r="33" spans="1:29" s="7" customFormat="1" ht="33.75" customHeight="1" thickBot="1">
      <c r="A33" s="450"/>
      <c r="B33" s="482"/>
      <c r="C33" s="15"/>
      <c r="D33" s="274" t="s">
        <v>105</v>
      </c>
      <c r="E33" s="277"/>
      <c r="F33" s="278"/>
      <c r="G33" s="278"/>
      <c r="H33" s="276"/>
      <c r="I33" s="276"/>
      <c r="J33" s="276"/>
      <c r="K33" s="276"/>
      <c r="L33" s="276"/>
      <c r="M33" s="276"/>
      <c r="N33" s="276"/>
      <c r="O33" s="276"/>
      <c r="P33" s="276"/>
      <c r="Q33" s="276"/>
      <c r="R33" s="276"/>
      <c r="S33" s="276"/>
      <c r="T33" s="276"/>
      <c r="U33" s="276"/>
      <c r="V33" s="276"/>
      <c r="W33" s="276"/>
      <c r="X33" s="279"/>
      <c r="Y33" s="276"/>
      <c r="Z33" s="276"/>
      <c r="AA33" s="276"/>
      <c r="AB33" s="197"/>
      <c r="AC33" s="454"/>
    </row>
    <row r="34" spans="1:29" s="7" customFormat="1" ht="33.75" customHeight="1">
      <c r="A34" s="455">
        <v>13</v>
      </c>
      <c r="B34" s="481"/>
      <c r="C34" s="13"/>
      <c r="D34" s="273" t="s">
        <v>177</v>
      </c>
      <c r="E34" s="216"/>
      <c r="F34" s="217"/>
      <c r="G34" s="217"/>
      <c r="H34" s="218"/>
      <c r="I34" s="218"/>
      <c r="J34" s="218"/>
      <c r="K34" s="218"/>
      <c r="L34" s="218"/>
      <c r="M34" s="218"/>
      <c r="N34" s="218"/>
      <c r="O34" s="218"/>
      <c r="P34" s="218"/>
      <c r="Q34" s="218"/>
      <c r="R34" s="218"/>
      <c r="S34" s="218"/>
      <c r="T34" s="218"/>
      <c r="U34" s="218"/>
      <c r="V34" s="218"/>
      <c r="W34" s="218"/>
      <c r="X34" s="221"/>
      <c r="Y34" s="218"/>
      <c r="Z34" s="218"/>
      <c r="AA34" s="218"/>
      <c r="AB34" s="196"/>
      <c r="AC34" s="453">
        <f>SUM($E35:$G35)-SUM($I35:$AA35)+$AC32</f>
        <v>0</v>
      </c>
    </row>
    <row r="35" spans="1:29" s="7" customFormat="1" ht="33.75" customHeight="1" thickBot="1">
      <c r="A35" s="456"/>
      <c r="B35" s="482"/>
      <c r="C35" s="15"/>
      <c r="D35" s="274" t="s">
        <v>105</v>
      </c>
      <c r="E35" s="277"/>
      <c r="F35" s="278"/>
      <c r="G35" s="278"/>
      <c r="H35" s="276"/>
      <c r="I35" s="276"/>
      <c r="J35" s="276"/>
      <c r="K35" s="276"/>
      <c r="L35" s="276"/>
      <c r="M35" s="276"/>
      <c r="N35" s="276"/>
      <c r="O35" s="276"/>
      <c r="P35" s="276"/>
      <c r="Q35" s="276"/>
      <c r="R35" s="276"/>
      <c r="S35" s="276"/>
      <c r="T35" s="276"/>
      <c r="U35" s="276"/>
      <c r="V35" s="276"/>
      <c r="W35" s="276"/>
      <c r="X35" s="279"/>
      <c r="Y35" s="276"/>
      <c r="Z35" s="276"/>
      <c r="AA35" s="276"/>
      <c r="AB35" s="197"/>
      <c r="AC35" s="454"/>
    </row>
    <row r="36" spans="1:29" s="7" customFormat="1" ht="33.75" customHeight="1">
      <c r="A36" s="464">
        <v>14</v>
      </c>
      <c r="B36" s="481"/>
      <c r="C36" s="13"/>
      <c r="D36" s="273" t="s">
        <v>177</v>
      </c>
      <c r="E36" s="216"/>
      <c r="F36" s="217"/>
      <c r="G36" s="217"/>
      <c r="H36" s="218"/>
      <c r="I36" s="218"/>
      <c r="J36" s="218"/>
      <c r="K36" s="218"/>
      <c r="L36" s="218"/>
      <c r="M36" s="218"/>
      <c r="N36" s="218"/>
      <c r="O36" s="218"/>
      <c r="P36" s="218"/>
      <c r="Q36" s="218"/>
      <c r="R36" s="218"/>
      <c r="S36" s="218"/>
      <c r="T36" s="218"/>
      <c r="U36" s="218"/>
      <c r="V36" s="218"/>
      <c r="W36" s="218"/>
      <c r="X36" s="221"/>
      <c r="Y36" s="218"/>
      <c r="Z36" s="218"/>
      <c r="AA36" s="218"/>
      <c r="AB36" s="196"/>
      <c r="AC36" s="453">
        <f t="shared" ref="AC36" si="9">SUM($E37:$G37)-SUM($I37:$AA37)+$AC34</f>
        <v>0</v>
      </c>
    </row>
    <row r="37" spans="1:29" s="7" customFormat="1" ht="33.75" customHeight="1" thickBot="1">
      <c r="A37" s="449"/>
      <c r="B37" s="483"/>
      <c r="C37" s="15"/>
      <c r="D37" s="199" t="s">
        <v>105</v>
      </c>
      <c r="E37" s="280"/>
      <c r="F37" s="281"/>
      <c r="G37" s="281"/>
      <c r="H37" s="282"/>
      <c r="I37" s="282"/>
      <c r="J37" s="282"/>
      <c r="K37" s="282"/>
      <c r="L37" s="282"/>
      <c r="M37" s="282"/>
      <c r="N37" s="282"/>
      <c r="O37" s="282"/>
      <c r="P37" s="282"/>
      <c r="Q37" s="282"/>
      <c r="R37" s="282"/>
      <c r="S37" s="282"/>
      <c r="T37" s="282"/>
      <c r="U37" s="282"/>
      <c r="V37" s="282"/>
      <c r="W37" s="282"/>
      <c r="X37" s="283"/>
      <c r="Y37" s="282"/>
      <c r="Z37" s="282"/>
      <c r="AA37" s="282"/>
      <c r="AB37" s="194"/>
      <c r="AC37" s="465"/>
    </row>
    <row r="38" spans="1:29" s="7" customFormat="1" ht="33.75" customHeight="1">
      <c r="A38" s="455">
        <v>15</v>
      </c>
      <c r="B38" s="479"/>
      <c r="C38" s="13"/>
      <c r="D38" s="273" t="s">
        <v>177</v>
      </c>
      <c r="E38" s="216"/>
      <c r="F38" s="217"/>
      <c r="G38" s="217"/>
      <c r="H38" s="218"/>
      <c r="I38" s="218"/>
      <c r="J38" s="218"/>
      <c r="K38" s="218"/>
      <c r="L38" s="218"/>
      <c r="M38" s="218"/>
      <c r="N38" s="218"/>
      <c r="O38" s="218"/>
      <c r="P38" s="218"/>
      <c r="Q38" s="218"/>
      <c r="R38" s="218"/>
      <c r="S38" s="218"/>
      <c r="T38" s="218"/>
      <c r="U38" s="218"/>
      <c r="V38" s="218"/>
      <c r="W38" s="218"/>
      <c r="X38" s="221"/>
      <c r="Y38" s="218"/>
      <c r="Z38" s="218"/>
      <c r="AA38" s="218"/>
      <c r="AB38" s="190"/>
      <c r="AC38" s="453">
        <f t="shared" ref="AC38" si="10">SUM($E39:$G39)-SUM($I39:$AA39)+$AC36</f>
        <v>0</v>
      </c>
    </row>
    <row r="39" spans="1:29" s="7" customFormat="1" ht="33.75" customHeight="1" thickBot="1">
      <c r="A39" s="459"/>
      <c r="B39" s="480"/>
      <c r="C39" s="15"/>
      <c r="D39" s="274" t="s">
        <v>105</v>
      </c>
      <c r="E39" s="277"/>
      <c r="F39" s="278"/>
      <c r="G39" s="278"/>
      <c r="H39" s="276"/>
      <c r="I39" s="276"/>
      <c r="J39" s="276"/>
      <c r="K39" s="276"/>
      <c r="L39" s="276"/>
      <c r="M39" s="276"/>
      <c r="N39" s="276"/>
      <c r="O39" s="276"/>
      <c r="P39" s="276"/>
      <c r="Q39" s="276"/>
      <c r="R39" s="276"/>
      <c r="S39" s="276"/>
      <c r="T39" s="276"/>
      <c r="U39" s="276"/>
      <c r="V39" s="276"/>
      <c r="W39" s="276"/>
      <c r="X39" s="279"/>
      <c r="Y39" s="276"/>
      <c r="Z39" s="276"/>
      <c r="AA39" s="276"/>
      <c r="AB39" s="191"/>
      <c r="AC39" s="454"/>
    </row>
    <row r="40" spans="1:29" s="7" customFormat="1" ht="33.75" customHeight="1">
      <c r="A40" s="466">
        <v>16</v>
      </c>
      <c r="B40" s="479"/>
      <c r="C40" s="13"/>
      <c r="D40" s="273" t="s">
        <v>177</v>
      </c>
      <c r="E40" s="216"/>
      <c r="F40" s="217"/>
      <c r="G40" s="217"/>
      <c r="H40" s="218"/>
      <c r="I40" s="218"/>
      <c r="J40" s="218"/>
      <c r="K40" s="218"/>
      <c r="L40" s="218"/>
      <c r="M40" s="218"/>
      <c r="N40" s="218"/>
      <c r="O40" s="218"/>
      <c r="P40" s="218"/>
      <c r="Q40" s="218"/>
      <c r="R40" s="218"/>
      <c r="S40" s="218"/>
      <c r="T40" s="218"/>
      <c r="U40" s="218"/>
      <c r="V40" s="218"/>
      <c r="W40" s="218"/>
      <c r="X40" s="221"/>
      <c r="Y40" s="218"/>
      <c r="Z40" s="218"/>
      <c r="AA40" s="218"/>
      <c r="AB40" s="190"/>
      <c r="AC40" s="453">
        <f t="shared" ref="AC40" si="11">SUM($E41:$G41)-SUM($I41:$AA41)+$AC38</f>
        <v>0</v>
      </c>
    </row>
    <row r="41" spans="1:29" s="7" customFormat="1" ht="33.75" customHeight="1" thickBot="1">
      <c r="A41" s="467"/>
      <c r="B41" s="480"/>
      <c r="C41" s="15"/>
      <c r="D41" s="274" t="s">
        <v>105</v>
      </c>
      <c r="E41" s="277"/>
      <c r="F41" s="278"/>
      <c r="G41" s="278"/>
      <c r="H41" s="276"/>
      <c r="I41" s="276"/>
      <c r="J41" s="276"/>
      <c r="K41" s="276"/>
      <c r="L41" s="276"/>
      <c r="M41" s="276"/>
      <c r="N41" s="276"/>
      <c r="O41" s="276"/>
      <c r="P41" s="276"/>
      <c r="Q41" s="276"/>
      <c r="R41" s="276"/>
      <c r="S41" s="276"/>
      <c r="T41" s="276"/>
      <c r="U41" s="276"/>
      <c r="V41" s="276"/>
      <c r="W41" s="276"/>
      <c r="X41" s="279"/>
      <c r="Y41" s="276"/>
      <c r="Z41" s="276"/>
      <c r="AA41" s="276"/>
      <c r="AB41" s="191"/>
      <c r="AC41" s="454"/>
    </row>
    <row r="42" spans="1:29" s="7" customFormat="1" ht="33.75" customHeight="1">
      <c r="A42" s="468">
        <v>17</v>
      </c>
      <c r="B42" s="483"/>
      <c r="C42" s="13"/>
      <c r="D42" s="275" t="s">
        <v>177</v>
      </c>
      <c r="E42" s="222"/>
      <c r="F42" s="223"/>
      <c r="G42" s="223"/>
      <c r="H42" s="224"/>
      <c r="I42" s="224"/>
      <c r="J42" s="224"/>
      <c r="K42" s="224"/>
      <c r="L42" s="224"/>
      <c r="M42" s="224"/>
      <c r="N42" s="224"/>
      <c r="O42" s="224"/>
      <c r="P42" s="224"/>
      <c r="Q42" s="224"/>
      <c r="R42" s="224"/>
      <c r="S42" s="224"/>
      <c r="T42" s="224"/>
      <c r="U42" s="224"/>
      <c r="V42" s="224"/>
      <c r="W42" s="224"/>
      <c r="X42" s="224"/>
      <c r="Y42" s="224"/>
      <c r="Z42" s="224"/>
      <c r="AA42" s="224"/>
      <c r="AB42" s="195"/>
      <c r="AC42" s="453">
        <f t="shared" ref="AC42" si="12">SUM($E43:$G43)-SUM($I43:$AA43)+$AC40</f>
        <v>0</v>
      </c>
    </row>
    <row r="43" spans="1:29" s="7" customFormat="1" ht="33.75" customHeight="1" thickBot="1">
      <c r="A43" s="459"/>
      <c r="B43" s="482"/>
      <c r="C43" s="15"/>
      <c r="D43" s="274" t="s">
        <v>105</v>
      </c>
      <c r="E43" s="277"/>
      <c r="F43" s="278"/>
      <c r="G43" s="278"/>
      <c r="H43" s="276"/>
      <c r="I43" s="276"/>
      <c r="J43" s="276"/>
      <c r="K43" s="276"/>
      <c r="L43" s="276"/>
      <c r="M43" s="276"/>
      <c r="N43" s="276"/>
      <c r="O43" s="276"/>
      <c r="P43" s="276"/>
      <c r="Q43" s="276"/>
      <c r="R43" s="276"/>
      <c r="S43" s="276"/>
      <c r="T43" s="276"/>
      <c r="U43" s="276"/>
      <c r="V43" s="276"/>
      <c r="W43" s="276"/>
      <c r="X43" s="276"/>
      <c r="Y43" s="276"/>
      <c r="Z43" s="276"/>
      <c r="AA43" s="276"/>
      <c r="AB43" s="197"/>
      <c r="AC43" s="454"/>
    </row>
    <row r="44" spans="1:29" s="7" customFormat="1" ht="33.75" customHeight="1">
      <c r="A44" s="455">
        <v>18</v>
      </c>
      <c r="B44" s="481"/>
      <c r="C44" s="13"/>
      <c r="D44" s="273" t="s">
        <v>177</v>
      </c>
      <c r="E44" s="216"/>
      <c r="F44" s="217"/>
      <c r="G44" s="217"/>
      <c r="H44" s="218"/>
      <c r="I44" s="218"/>
      <c r="J44" s="218"/>
      <c r="K44" s="218"/>
      <c r="L44" s="218"/>
      <c r="M44" s="218"/>
      <c r="N44" s="218"/>
      <c r="O44" s="218"/>
      <c r="P44" s="218"/>
      <c r="Q44" s="218"/>
      <c r="R44" s="218"/>
      <c r="S44" s="218"/>
      <c r="T44" s="218"/>
      <c r="U44" s="218"/>
      <c r="V44" s="218"/>
      <c r="W44" s="218"/>
      <c r="X44" s="218"/>
      <c r="Y44" s="218"/>
      <c r="Z44" s="218"/>
      <c r="AA44" s="218"/>
      <c r="AB44" s="196"/>
      <c r="AC44" s="453">
        <f t="shared" ref="AC44" si="13">SUM($E45:$G45)-SUM($I45:$AA45)+$AC42</f>
        <v>0</v>
      </c>
    </row>
    <row r="45" spans="1:29" s="7" customFormat="1" ht="33.75" customHeight="1" thickBot="1">
      <c r="A45" s="459"/>
      <c r="B45" s="482"/>
      <c r="C45" s="15"/>
      <c r="D45" s="274" t="s">
        <v>105</v>
      </c>
      <c r="E45" s="277"/>
      <c r="F45" s="278"/>
      <c r="G45" s="278"/>
      <c r="H45" s="276"/>
      <c r="I45" s="276"/>
      <c r="J45" s="276"/>
      <c r="K45" s="276"/>
      <c r="L45" s="276"/>
      <c r="M45" s="276"/>
      <c r="N45" s="276"/>
      <c r="O45" s="276"/>
      <c r="P45" s="276"/>
      <c r="Q45" s="276"/>
      <c r="R45" s="276"/>
      <c r="S45" s="276"/>
      <c r="T45" s="276"/>
      <c r="U45" s="276"/>
      <c r="V45" s="276"/>
      <c r="W45" s="276"/>
      <c r="X45" s="276"/>
      <c r="Y45" s="276"/>
      <c r="Z45" s="276"/>
      <c r="AA45" s="276"/>
      <c r="AB45" s="197"/>
      <c r="AC45" s="454"/>
    </row>
    <row r="46" spans="1:29" s="7" customFormat="1" ht="33.75" customHeight="1">
      <c r="A46" s="455">
        <v>19</v>
      </c>
      <c r="B46" s="481"/>
      <c r="C46" s="13"/>
      <c r="D46" s="273" t="s">
        <v>177</v>
      </c>
      <c r="E46" s="216"/>
      <c r="F46" s="217"/>
      <c r="G46" s="217"/>
      <c r="H46" s="218"/>
      <c r="I46" s="218"/>
      <c r="J46" s="218"/>
      <c r="K46" s="218"/>
      <c r="L46" s="218"/>
      <c r="M46" s="218"/>
      <c r="N46" s="218"/>
      <c r="O46" s="218"/>
      <c r="P46" s="218"/>
      <c r="Q46" s="218"/>
      <c r="R46" s="218"/>
      <c r="S46" s="218"/>
      <c r="T46" s="218"/>
      <c r="U46" s="218"/>
      <c r="V46" s="218"/>
      <c r="W46" s="218"/>
      <c r="X46" s="218"/>
      <c r="Y46" s="218"/>
      <c r="Z46" s="218"/>
      <c r="AA46" s="218"/>
      <c r="AB46" s="196"/>
      <c r="AC46" s="453">
        <f t="shared" ref="AC46" si="14">SUM($E47:$G47)-SUM($I47:$AA47)+$AC44</f>
        <v>0</v>
      </c>
    </row>
    <row r="47" spans="1:29" s="7" customFormat="1" ht="33.75" customHeight="1" thickBot="1">
      <c r="A47" s="459"/>
      <c r="B47" s="482"/>
      <c r="C47" s="15"/>
      <c r="D47" s="274" t="s">
        <v>105</v>
      </c>
      <c r="E47" s="277"/>
      <c r="F47" s="278"/>
      <c r="G47" s="278"/>
      <c r="H47" s="276"/>
      <c r="I47" s="276"/>
      <c r="J47" s="276"/>
      <c r="K47" s="276"/>
      <c r="L47" s="276"/>
      <c r="M47" s="276"/>
      <c r="N47" s="276"/>
      <c r="O47" s="276"/>
      <c r="P47" s="276"/>
      <c r="Q47" s="276"/>
      <c r="R47" s="276"/>
      <c r="S47" s="276"/>
      <c r="T47" s="276"/>
      <c r="U47" s="276"/>
      <c r="V47" s="276"/>
      <c r="W47" s="276"/>
      <c r="X47" s="276"/>
      <c r="Y47" s="276"/>
      <c r="Z47" s="276"/>
      <c r="AA47" s="276"/>
      <c r="AB47" s="197"/>
      <c r="AC47" s="454"/>
    </row>
    <row r="48" spans="1:29" s="7" customFormat="1" ht="33.75" customHeight="1">
      <c r="A48" s="455">
        <v>20</v>
      </c>
      <c r="B48" s="481"/>
      <c r="C48" s="13"/>
      <c r="D48" s="273" t="s">
        <v>177</v>
      </c>
      <c r="E48" s="216"/>
      <c r="F48" s="217"/>
      <c r="G48" s="217"/>
      <c r="H48" s="218"/>
      <c r="I48" s="218"/>
      <c r="J48" s="218"/>
      <c r="K48" s="218"/>
      <c r="L48" s="218"/>
      <c r="M48" s="218"/>
      <c r="N48" s="218"/>
      <c r="O48" s="218"/>
      <c r="P48" s="218"/>
      <c r="Q48" s="218"/>
      <c r="R48" s="218"/>
      <c r="S48" s="218"/>
      <c r="T48" s="218"/>
      <c r="U48" s="218"/>
      <c r="V48" s="218"/>
      <c r="W48" s="218"/>
      <c r="X48" s="218"/>
      <c r="Y48" s="218"/>
      <c r="Z48" s="218"/>
      <c r="AA48" s="218"/>
      <c r="AB48" s="196"/>
      <c r="AC48" s="453">
        <f t="shared" ref="AC48" si="15">SUM($E49:$G49)-SUM($I49:$AA49)+$AC46</f>
        <v>0</v>
      </c>
    </row>
    <row r="49" spans="1:29" s="7" customFormat="1" ht="33.75" customHeight="1" thickBot="1">
      <c r="A49" s="459"/>
      <c r="B49" s="482"/>
      <c r="C49" s="15"/>
      <c r="D49" s="274" t="s">
        <v>105</v>
      </c>
      <c r="E49" s="277"/>
      <c r="F49" s="278"/>
      <c r="G49" s="278"/>
      <c r="H49" s="276"/>
      <c r="I49" s="276"/>
      <c r="J49" s="276"/>
      <c r="K49" s="276"/>
      <c r="L49" s="276"/>
      <c r="M49" s="276"/>
      <c r="N49" s="276"/>
      <c r="O49" s="276"/>
      <c r="P49" s="276"/>
      <c r="Q49" s="276"/>
      <c r="R49" s="276"/>
      <c r="S49" s="276"/>
      <c r="T49" s="276"/>
      <c r="U49" s="276"/>
      <c r="V49" s="276"/>
      <c r="W49" s="276"/>
      <c r="X49" s="276"/>
      <c r="Y49" s="276"/>
      <c r="Z49" s="276"/>
      <c r="AA49" s="276"/>
      <c r="AB49" s="197"/>
      <c r="AC49" s="454"/>
    </row>
    <row r="50" spans="1:29" s="7" customFormat="1" ht="33.75" customHeight="1">
      <c r="A50" s="455">
        <v>21</v>
      </c>
      <c r="B50" s="481"/>
      <c r="C50" s="13"/>
      <c r="D50" s="273" t="s">
        <v>177</v>
      </c>
      <c r="E50" s="216"/>
      <c r="F50" s="217"/>
      <c r="G50" s="217"/>
      <c r="H50" s="218"/>
      <c r="I50" s="218"/>
      <c r="J50" s="218"/>
      <c r="K50" s="218"/>
      <c r="L50" s="218"/>
      <c r="M50" s="218"/>
      <c r="N50" s="218"/>
      <c r="O50" s="218"/>
      <c r="P50" s="218"/>
      <c r="Q50" s="218"/>
      <c r="R50" s="218"/>
      <c r="S50" s="218"/>
      <c r="T50" s="218"/>
      <c r="U50" s="218"/>
      <c r="V50" s="218"/>
      <c r="W50" s="218"/>
      <c r="X50" s="218"/>
      <c r="Y50" s="218"/>
      <c r="Z50" s="218"/>
      <c r="AA50" s="218"/>
      <c r="AB50" s="196"/>
      <c r="AC50" s="453">
        <f t="shared" ref="AC50" si="16">SUM($E51:$G51)-SUM($I51:$AA51)+$AC48</f>
        <v>0</v>
      </c>
    </row>
    <row r="51" spans="1:29" s="7" customFormat="1" ht="33.75" customHeight="1" thickBot="1">
      <c r="A51" s="459"/>
      <c r="B51" s="482"/>
      <c r="C51" s="15"/>
      <c r="D51" s="274" t="s">
        <v>105</v>
      </c>
      <c r="E51" s="277"/>
      <c r="F51" s="278"/>
      <c r="G51" s="278"/>
      <c r="H51" s="276"/>
      <c r="I51" s="276"/>
      <c r="J51" s="276"/>
      <c r="K51" s="276"/>
      <c r="L51" s="276"/>
      <c r="M51" s="276"/>
      <c r="N51" s="276"/>
      <c r="O51" s="276"/>
      <c r="P51" s="276"/>
      <c r="Q51" s="276"/>
      <c r="R51" s="276"/>
      <c r="S51" s="276"/>
      <c r="T51" s="276"/>
      <c r="U51" s="276"/>
      <c r="V51" s="276"/>
      <c r="W51" s="276"/>
      <c r="X51" s="276"/>
      <c r="Y51" s="276"/>
      <c r="Z51" s="276"/>
      <c r="AA51" s="276"/>
      <c r="AB51" s="197"/>
      <c r="AC51" s="454"/>
    </row>
    <row r="52" spans="1:29" s="7" customFormat="1" ht="33.75" customHeight="1">
      <c r="A52" s="455">
        <v>22</v>
      </c>
      <c r="B52" s="481"/>
      <c r="C52" s="13"/>
      <c r="D52" s="273" t="s">
        <v>177</v>
      </c>
      <c r="E52" s="216"/>
      <c r="F52" s="217"/>
      <c r="G52" s="217"/>
      <c r="H52" s="218"/>
      <c r="I52" s="218"/>
      <c r="J52" s="218"/>
      <c r="K52" s="218"/>
      <c r="L52" s="218"/>
      <c r="M52" s="218"/>
      <c r="N52" s="218"/>
      <c r="O52" s="218"/>
      <c r="P52" s="218"/>
      <c r="Q52" s="218"/>
      <c r="R52" s="218"/>
      <c r="S52" s="218"/>
      <c r="T52" s="218"/>
      <c r="U52" s="218"/>
      <c r="V52" s="218"/>
      <c r="W52" s="218"/>
      <c r="X52" s="218"/>
      <c r="Y52" s="218"/>
      <c r="Z52" s="218"/>
      <c r="AA52" s="218"/>
      <c r="AB52" s="196"/>
      <c r="AC52" s="453">
        <f t="shared" ref="AC52" si="17">SUM($E53:$G53)-SUM($I53:$AA53)+$AC50</f>
        <v>0</v>
      </c>
    </row>
    <row r="53" spans="1:29" s="7" customFormat="1" ht="33.75" customHeight="1" thickBot="1">
      <c r="A53" s="459"/>
      <c r="B53" s="482"/>
      <c r="C53" s="15"/>
      <c r="D53" s="274" t="s">
        <v>105</v>
      </c>
      <c r="E53" s="277"/>
      <c r="F53" s="278"/>
      <c r="G53" s="278"/>
      <c r="H53" s="276"/>
      <c r="I53" s="276"/>
      <c r="J53" s="276"/>
      <c r="K53" s="276"/>
      <c r="L53" s="276"/>
      <c r="M53" s="276"/>
      <c r="N53" s="276"/>
      <c r="O53" s="276"/>
      <c r="P53" s="276"/>
      <c r="Q53" s="276"/>
      <c r="R53" s="276"/>
      <c r="S53" s="276"/>
      <c r="T53" s="276"/>
      <c r="U53" s="276"/>
      <c r="V53" s="276"/>
      <c r="W53" s="276"/>
      <c r="X53" s="276"/>
      <c r="Y53" s="276"/>
      <c r="Z53" s="276"/>
      <c r="AA53" s="276"/>
      <c r="AB53" s="197"/>
      <c r="AC53" s="454"/>
    </row>
    <row r="54" spans="1:29" s="7" customFormat="1" ht="33.75" customHeight="1">
      <c r="A54" s="455">
        <v>23</v>
      </c>
      <c r="B54" s="481"/>
      <c r="C54" s="13"/>
      <c r="D54" s="273" t="s">
        <v>177</v>
      </c>
      <c r="E54" s="216"/>
      <c r="F54" s="217"/>
      <c r="G54" s="217"/>
      <c r="H54" s="218"/>
      <c r="I54" s="218"/>
      <c r="J54" s="218"/>
      <c r="K54" s="218"/>
      <c r="L54" s="218"/>
      <c r="M54" s="218"/>
      <c r="N54" s="218"/>
      <c r="O54" s="218"/>
      <c r="P54" s="218"/>
      <c r="Q54" s="218"/>
      <c r="R54" s="218"/>
      <c r="S54" s="218"/>
      <c r="T54" s="218"/>
      <c r="U54" s="218"/>
      <c r="V54" s="218"/>
      <c r="W54" s="218"/>
      <c r="X54" s="218"/>
      <c r="Y54" s="218"/>
      <c r="Z54" s="218"/>
      <c r="AA54" s="218"/>
      <c r="AB54" s="196"/>
      <c r="AC54" s="453">
        <f t="shared" ref="AC54" si="18">SUM($E55:$G55)-SUM($I55:$AA55)+$AC52</f>
        <v>0</v>
      </c>
    </row>
    <row r="55" spans="1:29" s="7" customFormat="1" ht="33.75" customHeight="1" thickBot="1">
      <c r="A55" s="459"/>
      <c r="B55" s="482"/>
      <c r="C55" s="15"/>
      <c r="D55" s="274" t="s">
        <v>105</v>
      </c>
      <c r="E55" s="277"/>
      <c r="F55" s="278"/>
      <c r="G55" s="278"/>
      <c r="H55" s="276"/>
      <c r="I55" s="276"/>
      <c r="J55" s="276"/>
      <c r="K55" s="276"/>
      <c r="L55" s="276"/>
      <c r="M55" s="276"/>
      <c r="N55" s="276"/>
      <c r="O55" s="276"/>
      <c r="P55" s="276"/>
      <c r="Q55" s="276"/>
      <c r="R55" s="276"/>
      <c r="S55" s="276"/>
      <c r="T55" s="276"/>
      <c r="U55" s="276"/>
      <c r="V55" s="276"/>
      <c r="W55" s="276"/>
      <c r="X55" s="276"/>
      <c r="Y55" s="276"/>
      <c r="Z55" s="276"/>
      <c r="AA55" s="276"/>
      <c r="AB55" s="197"/>
      <c r="AC55" s="454"/>
    </row>
    <row r="56" spans="1:29" s="7" customFormat="1" ht="33.75" customHeight="1">
      <c r="A56" s="455">
        <v>24</v>
      </c>
      <c r="B56" s="481"/>
      <c r="C56" s="13"/>
      <c r="D56" s="273" t="s">
        <v>177</v>
      </c>
      <c r="E56" s="216"/>
      <c r="F56" s="217"/>
      <c r="G56" s="217"/>
      <c r="H56" s="218"/>
      <c r="I56" s="218"/>
      <c r="J56" s="218"/>
      <c r="K56" s="218"/>
      <c r="L56" s="218"/>
      <c r="M56" s="218"/>
      <c r="N56" s="218"/>
      <c r="O56" s="218"/>
      <c r="P56" s="218"/>
      <c r="Q56" s="218"/>
      <c r="R56" s="218"/>
      <c r="S56" s="218"/>
      <c r="T56" s="218"/>
      <c r="U56" s="218"/>
      <c r="V56" s="218"/>
      <c r="W56" s="218"/>
      <c r="X56" s="218"/>
      <c r="Y56" s="218"/>
      <c r="Z56" s="218"/>
      <c r="AA56" s="218"/>
      <c r="AB56" s="196"/>
      <c r="AC56" s="453">
        <f t="shared" ref="AC56" si="19">SUM($E57:$G57)-SUM($I57:$AA57)+$AC54</f>
        <v>0</v>
      </c>
    </row>
    <row r="57" spans="1:29" s="7" customFormat="1" ht="33.75" customHeight="1" thickBot="1">
      <c r="A57" s="459"/>
      <c r="B57" s="482"/>
      <c r="C57" s="15"/>
      <c r="D57" s="274" t="s">
        <v>105</v>
      </c>
      <c r="E57" s="277"/>
      <c r="F57" s="278"/>
      <c r="G57" s="278"/>
      <c r="H57" s="276"/>
      <c r="I57" s="276"/>
      <c r="J57" s="276"/>
      <c r="K57" s="276"/>
      <c r="L57" s="276"/>
      <c r="M57" s="276"/>
      <c r="N57" s="276"/>
      <c r="O57" s="276"/>
      <c r="P57" s="276"/>
      <c r="Q57" s="276"/>
      <c r="R57" s="276"/>
      <c r="S57" s="276"/>
      <c r="T57" s="276"/>
      <c r="U57" s="276"/>
      <c r="V57" s="276"/>
      <c r="W57" s="276"/>
      <c r="X57" s="276"/>
      <c r="Y57" s="276"/>
      <c r="Z57" s="276"/>
      <c r="AA57" s="276"/>
      <c r="AB57" s="197"/>
      <c r="AC57" s="454"/>
    </row>
    <row r="58" spans="1:29" s="7" customFormat="1" ht="33.75" customHeight="1">
      <c r="A58" s="455">
        <v>25</v>
      </c>
      <c r="B58" s="481"/>
      <c r="C58" s="13"/>
      <c r="D58" s="273" t="s">
        <v>177</v>
      </c>
      <c r="E58" s="216"/>
      <c r="F58" s="217"/>
      <c r="G58" s="217"/>
      <c r="H58" s="218"/>
      <c r="I58" s="218"/>
      <c r="J58" s="218"/>
      <c r="K58" s="218"/>
      <c r="L58" s="218"/>
      <c r="M58" s="218"/>
      <c r="N58" s="218"/>
      <c r="O58" s="218"/>
      <c r="P58" s="218"/>
      <c r="Q58" s="218"/>
      <c r="R58" s="218"/>
      <c r="S58" s="218"/>
      <c r="T58" s="218"/>
      <c r="U58" s="218"/>
      <c r="V58" s="218"/>
      <c r="W58" s="218"/>
      <c r="X58" s="218"/>
      <c r="Y58" s="218"/>
      <c r="Z58" s="218"/>
      <c r="AA58" s="218"/>
      <c r="AB58" s="196"/>
      <c r="AC58" s="453">
        <f t="shared" ref="AC58" si="20">SUM($E59:$G59)-SUM($I59:$AA59)+$AC56</f>
        <v>0</v>
      </c>
    </row>
    <row r="59" spans="1:29" s="7" customFormat="1" ht="33.75" customHeight="1" thickBot="1">
      <c r="A59" s="459"/>
      <c r="B59" s="482"/>
      <c r="C59" s="15"/>
      <c r="D59" s="274" t="s">
        <v>105</v>
      </c>
      <c r="E59" s="277"/>
      <c r="F59" s="278"/>
      <c r="G59" s="278"/>
      <c r="H59" s="276"/>
      <c r="I59" s="276"/>
      <c r="J59" s="276"/>
      <c r="K59" s="276"/>
      <c r="L59" s="276"/>
      <c r="M59" s="276"/>
      <c r="N59" s="276"/>
      <c r="O59" s="276"/>
      <c r="P59" s="276"/>
      <c r="Q59" s="276"/>
      <c r="R59" s="276"/>
      <c r="S59" s="276"/>
      <c r="T59" s="276"/>
      <c r="U59" s="276"/>
      <c r="V59" s="276"/>
      <c r="W59" s="276"/>
      <c r="X59" s="276"/>
      <c r="Y59" s="276"/>
      <c r="Z59" s="276"/>
      <c r="AA59" s="276"/>
      <c r="AB59" s="197"/>
      <c r="AC59" s="454"/>
    </row>
    <row r="60" spans="1:29" s="7" customFormat="1" ht="33.75" customHeight="1">
      <c r="A60" s="455">
        <v>26</v>
      </c>
      <c r="B60" s="481"/>
      <c r="C60" s="13"/>
      <c r="D60" s="273" t="s">
        <v>177</v>
      </c>
      <c r="E60" s="216"/>
      <c r="F60" s="217"/>
      <c r="G60" s="217"/>
      <c r="H60" s="218"/>
      <c r="I60" s="218"/>
      <c r="J60" s="218"/>
      <c r="K60" s="218"/>
      <c r="L60" s="218"/>
      <c r="M60" s="218"/>
      <c r="N60" s="218"/>
      <c r="O60" s="218"/>
      <c r="P60" s="218"/>
      <c r="Q60" s="218"/>
      <c r="R60" s="218"/>
      <c r="S60" s="218"/>
      <c r="T60" s="218"/>
      <c r="U60" s="218"/>
      <c r="V60" s="218"/>
      <c r="W60" s="218"/>
      <c r="X60" s="218"/>
      <c r="Y60" s="218"/>
      <c r="Z60" s="218"/>
      <c r="AA60" s="218"/>
      <c r="AB60" s="196"/>
      <c r="AC60" s="453">
        <f t="shared" ref="AC60" si="21">SUM($E61:$G61)-SUM($I61:$AA61)+$AC58</f>
        <v>0</v>
      </c>
    </row>
    <row r="61" spans="1:29" s="7" customFormat="1" ht="33.75" customHeight="1" thickBot="1">
      <c r="A61" s="459"/>
      <c r="B61" s="482"/>
      <c r="C61" s="15"/>
      <c r="D61" s="274" t="s">
        <v>105</v>
      </c>
      <c r="E61" s="277"/>
      <c r="F61" s="278"/>
      <c r="G61" s="278"/>
      <c r="H61" s="220"/>
      <c r="I61" s="276"/>
      <c r="J61" s="276"/>
      <c r="K61" s="276"/>
      <c r="L61" s="276"/>
      <c r="M61" s="276"/>
      <c r="N61" s="276"/>
      <c r="O61" s="276"/>
      <c r="P61" s="276"/>
      <c r="Q61" s="276"/>
      <c r="R61" s="276"/>
      <c r="S61" s="276"/>
      <c r="T61" s="276"/>
      <c r="U61" s="276"/>
      <c r="V61" s="276"/>
      <c r="W61" s="276"/>
      <c r="X61" s="276"/>
      <c r="Y61" s="276"/>
      <c r="Z61" s="276"/>
      <c r="AA61" s="276"/>
      <c r="AB61" s="197"/>
      <c r="AC61" s="454"/>
    </row>
    <row r="62" spans="1:29" s="7" customFormat="1" ht="33.75" customHeight="1">
      <c r="A62" s="455">
        <v>27</v>
      </c>
      <c r="B62" s="481"/>
      <c r="C62" s="13"/>
      <c r="D62" s="273" t="s">
        <v>177</v>
      </c>
      <c r="E62" s="216"/>
      <c r="F62" s="217"/>
      <c r="G62" s="217"/>
      <c r="H62" s="218"/>
      <c r="I62" s="218"/>
      <c r="J62" s="218"/>
      <c r="K62" s="218"/>
      <c r="L62" s="218"/>
      <c r="M62" s="218"/>
      <c r="N62" s="218"/>
      <c r="O62" s="218"/>
      <c r="P62" s="218"/>
      <c r="Q62" s="218"/>
      <c r="R62" s="218"/>
      <c r="S62" s="218"/>
      <c r="T62" s="218"/>
      <c r="U62" s="218"/>
      <c r="V62" s="218"/>
      <c r="W62" s="218"/>
      <c r="X62" s="218"/>
      <c r="Y62" s="218"/>
      <c r="Z62" s="218"/>
      <c r="AA62" s="218"/>
      <c r="AB62" s="196"/>
      <c r="AC62" s="453">
        <f t="shared" ref="AC62" si="22">SUM($E63:$G63)-SUM($I63:$AA63)+$AC60</f>
        <v>0</v>
      </c>
    </row>
    <row r="63" spans="1:29" s="7" customFormat="1" ht="33.75" customHeight="1" thickBot="1">
      <c r="A63" s="459"/>
      <c r="B63" s="482"/>
      <c r="C63" s="15"/>
      <c r="D63" s="274" t="s">
        <v>105</v>
      </c>
      <c r="E63" s="277"/>
      <c r="F63" s="278"/>
      <c r="G63" s="278"/>
      <c r="H63" s="276"/>
      <c r="I63" s="276"/>
      <c r="J63" s="276"/>
      <c r="K63" s="276"/>
      <c r="L63" s="276"/>
      <c r="M63" s="276"/>
      <c r="N63" s="276"/>
      <c r="O63" s="276"/>
      <c r="P63" s="276"/>
      <c r="Q63" s="276"/>
      <c r="R63" s="276"/>
      <c r="S63" s="276"/>
      <c r="T63" s="276"/>
      <c r="U63" s="276"/>
      <c r="V63" s="276"/>
      <c r="W63" s="276"/>
      <c r="X63" s="276"/>
      <c r="Y63" s="276"/>
      <c r="Z63" s="276"/>
      <c r="AA63" s="276"/>
      <c r="AB63" s="197"/>
      <c r="AC63" s="454"/>
    </row>
    <row r="64" spans="1:29" s="7" customFormat="1" ht="33.75" customHeight="1">
      <c r="A64" s="455">
        <v>28</v>
      </c>
      <c r="B64" s="481"/>
      <c r="C64" s="13"/>
      <c r="D64" s="273" t="s">
        <v>177</v>
      </c>
      <c r="E64" s="216"/>
      <c r="F64" s="217"/>
      <c r="G64" s="217"/>
      <c r="H64" s="218"/>
      <c r="I64" s="218"/>
      <c r="J64" s="218"/>
      <c r="K64" s="218"/>
      <c r="L64" s="218"/>
      <c r="M64" s="218"/>
      <c r="N64" s="218"/>
      <c r="O64" s="218"/>
      <c r="P64" s="218"/>
      <c r="Q64" s="218"/>
      <c r="R64" s="218"/>
      <c r="S64" s="218"/>
      <c r="T64" s="218"/>
      <c r="U64" s="218"/>
      <c r="V64" s="218"/>
      <c r="W64" s="218"/>
      <c r="X64" s="218"/>
      <c r="Y64" s="218"/>
      <c r="Z64" s="218"/>
      <c r="AA64" s="218"/>
      <c r="AB64" s="196"/>
      <c r="AC64" s="453">
        <f t="shared" ref="AC64" si="23">SUM($E65:$G65)-SUM($I65:$AA65)+$AC62</f>
        <v>0</v>
      </c>
    </row>
    <row r="65" spans="1:29" s="7" customFormat="1" ht="33.75" customHeight="1" thickBot="1">
      <c r="A65" s="459"/>
      <c r="B65" s="482"/>
      <c r="C65" s="15"/>
      <c r="D65" s="274" t="s">
        <v>105</v>
      </c>
      <c r="E65" s="277"/>
      <c r="F65" s="278"/>
      <c r="G65" s="278"/>
      <c r="H65" s="276"/>
      <c r="I65" s="276"/>
      <c r="J65" s="276"/>
      <c r="K65" s="276"/>
      <c r="L65" s="276"/>
      <c r="M65" s="276"/>
      <c r="N65" s="276"/>
      <c r="O65" s="276"/>
      <c r="P65" s="276"/>
      <c r="Q65" s="276"/>
      <c r="R65" s="276"/>
      <c r="S65" s="276"/>
      <c r="T65" s="276"/>
      <c r="U65" s="276"/>
      <c r="V65" s="276"/>
      <c r="W65" s="276"/>
      <c r="X65" s="276"/>
      <c r="Y65" s="276"/>
      <c r="Z65" s="276"/>
      <c r="AA65" s="276"/>
      <c r="AB65" s="197"/>
      <c r="AC65" s="454"/>
    </row>
    <row r="66" spans="1:29" s="7" customFormat="1" ht="33.75" customHeight="1">
      <c r="A66" s="455">
        <v>29</v>
      </c>
      <c r="B66" s="481"/>
      <c r="C66" s="13"/>
      <c r="D66" s="273" t="s">
        <v>177</v>
      </c>
      <c r="E66" s="216"/>
      <c r="F66" s="217"/>
      <c r="G66" s="217"/>
      <c r="H66" s="218"/>
      <c r="I66" s="218"/>
      <c r="J66" s="218"/>
      <c r="K66" s="218"/>
      <c r="L66" s="218"/>
      <c r="M66" s="218"/>
      <c r="N66" s="218"/>
      <c r="O66" s="218"/>
      <c r="P66" s="218"/>
      <c r="Q66" s="218"/>
      <c r="R66" s="218"/>
      <c r="S66" s="218"/>
      <c r="T66" s="218"/>
      <c r="U66" s="218"/>
      <c r="V66" s="218"/>
      <c r="W66" s="218"/>
      <c r="X66" s="218"/>
      <c r="Y66" s="218"/>
      <c r="Z66" s="218"/>
      <c r="AA66" s="218"/>
      <c r="AB66" s="196"/>
      <c r="AC66" s="453">
        <f t="shared" ref="AC66" si="24">SUM($E67:$G67)-SUM($I67:$AA67)+$AC64</f>
        <v>0</v>
      </c>
    </row>
    <row r="67" spans="1:29" s="7" customFormat="1" ht="33.75" customHeight="1" thickBot="1">
      <c r="A67" s="459"/>
      <c r="B67" s="482"/>
      <c r="C67" s="15"/>
      <c r="D67" s="274" t="s">
        <v>105</v>
      </c>
      <c r="E67" s="277"/>
      <c r="F67" s="278"/>
      <c r="G67" s="278"/>
      <c r="H67" s="276"/>
      <c r="I67" s="276"/>
      <c r="J67" s="276"/>
      <c r="K67" s="276"/>
      <c r="L67" s="276"/>
      <c r="M67" s="276"/>
      <c r="N67" s="276"/>
      <c r="O67" s="276"/>
      <c r="P67" s="276"/>
      <c r="Q67" s="276"/>
      <c r="R67" s="276"/>
      <c r="S67" s="276"/>
      <c r="T67" s="276"/>
      <c r="U67" s="276"/>
      <c r="V67" s="276"/>
      <c r="W67" s="276"/>
      <c r="X67" s="276"/>
      <c r="Y67" s="276"/>
      <c r="Z67" s="276"/>
      <c r="AA67" s="276"/>
      <c r="AB67" s="197"/>
      <c r="AC67" s="454"/>
    </row>
    <row r="68" spans="1:29" s="7" customFormat="1" ht="33.75" customHeight="1">
      <c r="A68" s="455">
        <v>30</v>
      </c>
      <c r="B68" s="481"/>
      <c r="C68" s="13"/>
      <c r="D68" s="273" t="s">
        <v>177</v>
      </c>
      <c r="E68" s="216"/>
      <c r="F68" s="217"/>
      <c r="G68" s="217"/>
      <c r="H68" s="218"/>
      <c r="I68" s="218"/>
      <c r="J68" s="218"/>
      <c r="K68" s="218"/>
      <c r="L68" s="218"/>
      <c r="M68" s="218"/>
      <c r="N68" s="218"/>
      <c r="O68" s="218"/>
      <c r="P68" s="218"/>
      <c r="Q68" s="218"/>
      <c r="R68" s="218"/>
      <c r="S68" s="218"/>
      <c r="T68" s="218"/>
      <c r="U68" s="218"/>
      <c r="V68" s="218"/>
      <c r="W68" s="218"/>
      <c r="X68" s="218"/>
      <c r="Y68" s="218"/>
      <c r="Z68" s="218"/>
      <c r="AA68" s="218"/>
      <c r="AB68" s="196"/>
      <c r="AC68" s="453">
        <f t="shared" ref="AC68" si="25">SUM($E69:$G69)-SUM($I69:$AA69)+$AC66</f>
        <v>0</v>
      </c>
    </row>
    <row r="69" spans="1:29" s="7" customFormat="1" ht="33.75" customHeight="1" thickBot="1">
      <c r="A69" s="459"/>
      <c r="B69" s="482"/>
      <c r="C69" s="15"/>
      <c r="D69" s="274" t="s">
        <v>105</v>
      </c>
      <c r="E69" s="277"/>
      <c r="F69" s="278"/>
      <c r="G69" s="278"/>
      <c r="H69" s="276"/>
      <c r="I69" s="276"/>
      <c r="J69" s="276"/>
      <c r="K69" s="276"/>
      <c r="L69" s="276"/>
      <c r="M69" s="276"/>
      <c r="N69" s="276"/>
      <c r="O69" s="276"/>
      <c r="P69" s="276"/>
      <c r="Q69" s="276"/>
      <c r="R69" s="276"/>
      <c r="S69" s="276"/>
      <c r="T69" s="276"/>
      <c r="U69" s="276"/>
      <c r="V69" s="276"/>
      <c r="W69" s="276"/>
      <c r="X69" s="276"/>
      <c r="Y69" s="276"/>
      <c r="Z69" s="276"/>
      <c r="AA69" s="276"/>
      <c r="AB69" s="197"/>
      <c r="AC69" s="454"/>
    </row>
    <row r="70" spans="1:29" s="7" customFormat="1" ht="33.75" customHeight="1">
      <c r="A70" s="455">
        <v>31</v>
      </c>
      <c r="B70" s="481"/>
      <c r="C70" s="13"/>
      <c r="D70" s="273" t="s">
        <v>177</v>
      </c>
      <c r="E70" s="216"/>
      <c r="F70" s="217"/>
      <c r="G70" s="217"/>
      <c r="H70" s="218"/>
      <c r="I70" s="218"/>
      <c r="J70" s="218"/>
      <c r="K70" s="218"/>
      <c r="L70" s="218"/>
      <c r="M70" s="218"/>
      <c r="N70" s="218"/>
      <c r="O70" s="218"/>
      <c r="P70" s="218"/>
      <c r="Q70" s="218"/>
      <c r="R70" s="218"/>
      <c r="S70" s="218"/>
      <c r="T70" s="218"/>
      <c r="U70" s="218"/>
      <c r="V70" s="218"/>
      <c r="W70" s="218"/>
      <c r="X70" s="218"/>
      <c r="Y70" s="218"/>
      <c r="Z70" s="218"/>
      <c r="AA70" s="218"/>
      <c r="AB70" s="196"/>
      <c r="AC70" s="453">
        <f t="shared" ref="AC70" si="26">SUM($E71:$G71)-SUM($I71:$AA71)+$AC68</f>
        <v>0</v>
      </c>
    </row>
    <row r="71" spans="1:29" s="7" customFormat="1" ht="33.75" customHeight="1" thickBot="1">
      <c r="A71" s="459"/>
      <c r="B71" s="482"/>
      <c r="C71" s="15"/>
      <c r="D71" s="274" t="s">
        <v>105</v>
      </c>
      <c r="E71" s="277"/>
      <c r="F71" s="278"/>
      <c r="G71" s="278"/>
      <c r="H71" s="276"/>
      <c r="I71" s="276"/>
      <c r="J71" s="276"/>
      <c r="K71" s="276"/>
      <c r="L71" s="276"/>
      <c r="M71" s="276"/>
      <c r="N71" s="276"/>
      <c r="O71" s="276"/>
      <c r="P71" s="276"/>
      <c r="Q71" s="276"/>
      <c r="R71" s="276"/>
      <c r="S71" s="276"/>
      <c r="T71" s="276"/>
      <c r="U71" s="276"/>
      <c r="V71" s="276"/>
      <c r="W71" s="276"/>
      <c r="X71" s="276"/>
      <c r="Y71" s="276"/>
      <c r="Z71" s="276"/>
      <c r="AA71" s="276"/>
      <c r="AB71" s="197"/>
      <c r="AC71" s="454"/>
    </row>
    <row r="72" spans="1:29" ht="46.5" customHeight="1">
      <c r="A72" s="469" t="s">
        <v>331</v>
      </c>
      <c r="B72" s="470"/>
      <c r="C72" s="470"/>
      <c r="D72" s="471"/>
      <c r="E72" s="192">
        <f>SUM(E$10:E$71)</f>
        <v>0</v>
      </c>
      <c r="F72" s="192">
        <f>SUM(F$10:F$71)</f>
        <v>0</v>
      </c>
      <c r="G72" s="192">
        <f>SUM(G$10:G$71)</f>
        <v>0</v>
      </c>
      <c r="H72" s="192">
        <f>SUMIF($D$10:$D$41,$D72,H$10:H$41)</f>
        <v>0</v>
      </c>
      <c r="I72" s="192">
        <f>SUM(I$10:I$71)</f>
        <v>0</v>
      </c>
      <c r="J72" s="192">
        <f t="shared" ref="J72:AA72" si="27">SUM(J$10:J$71)</f>
        <v>0</v>
      </c>
      <c r="K72" s="192">
        <f t="shared" si="27"/>
        <v>0</v>
      </c>
      <c r="L72" s="192">
        <f t="shared" si="27"/>
        <v>0</v>
      </c>
      <c r="M72" s="192">
        <f t="shared" si="27"/>
        <v>0</v>
      </c>
      <c r="N72" s="192">
        <f t="shared" si="27"/>
        <v>0</v>
      </c>
      <c r="O72" s="192">
        <f t="shared" si="27"/>
        <v>0</v>
      </c>
      <c r="P72" s="192">
        <f t="shared" si="27"/>
        <v>0</v>
      </c>
      <c r="Q72" s="192">
        <f t="shared" si="27"/>
        <v>0</v>
      </c>
      <c r="R72" s="192">
        <f t="shared" si="27"/>
        <v>0</v>
      </c>
      <c r="S72" s="192">
        <f t="shared" si="27"/>
        <v>0</v>
      </c>
      <c r="T72" s="192">
        <f t="shared" si="27"/>
        <v>0</v>
      </c>
      <c r="U72" s="192">
        <f t="shared" si="27"/>
        <v>0</v>
      </c>
      <c r="V72" s="192">
        <f t="shared" si="27"/>
        <v>0</v>
      </c>
      <c r="W72" s="192">
        <f t="shared" si="27"/>
        <v>0</v>
      </c>
      <c r="X72" s="192">
        <f t="shared" si="27"/>
        <v>0</v>
      </c>
      <c r="Y72" s="192">
        <f t="shared" si="27"/>
        <v>0</v>
      </c>
      <c r="Z72" s="192">
        <f t="shared" si="27"/>
        <v>0</v>
      </c>
      <c r="AA72" s="192">
        <f t="shared" si="27"/>
        <v>0</v>
      </c>
      <c r="AB72" s="197">
        <f>SUMIF($D$10:$D$41,$D72,AB$10:AB$41)</f>
        <v>0</v>
      </c>
      <c r="AC72" s="193"/>
    </row>
    <row r="73" spans="1:29" ht="33.75" customHeight="1">
      <c r="B73" s="43" t="s">
        <v>330</v>
      </c>
    </row>
  </sheetData>
  <sheetProtection sheet="1" selectLockedCells="1"/>
  <mergeCells count="136">
    <mergeCell ref="A70:A71"/>
    <mergeCell ref="B70:B71"/>
    <mergeCell ref="A64:A65"/>
    <mergeCell ref="B64:B65"/>
    <mergeCell ref="A66:A67"/>
    <mergeCell ref="B66:B67"/>
    <mergeCell ref="A68:A69"/>
    <mergeCell ref="B68:B69"/>
    <mergeCell ref="B58:B59"/>
    <mergeCell ref="A60:A61"/>
    <mergeCell ref="B60:B61"/>
    <mergeCell ref="A62:A63"/>
    <mergeCell ref="B62:B63"/>
    <mergeCell ref="A52:A53"/>
    <mergeCell ref="B52:B53"/>
    <mergeCell ref="A54:A55"/>
    <mergeCell ref="B54:B55"/>
    <mergeCell ref="A56:A57"/>
    <mergeCell ref="B56:B57"/>
    <mergeCell ref="A34:A35"/>
    <mergeCell ref="B34:B35"/>
    <mergeCell ref="A36:A37"/>
    <mergeCell ref="B36:B37"/>
    <mergeCell ref="A38:A39"/>
    <mergeCell ref="B38:B39"/>
    <mergeCell ref="A28:A29"/>
    <mergeCell ref="B28:B29"/>
    <mergeCell ref="A30:A31"/>
    <mergeCell ref="B30:B31"/>
    <mergeCell ref="A32:A33"/>
    <mergeCell ref="B32:B33"/>
    <mergeCell ref="A22:A23"/>
    <mergeCell ref="B22:B23"/>
    <mergeCell ref="A24:A25"/>
    <mergeCell ref="B24:B25"/>
    <mergeCell ref="A26:A27"/>
    <mergeCell ref="B26:B27"/>
    <mergeCell ref="N6:N9"/>
    <mergeCell ref="O6:O9"/>
    <mergeCell ref="P6:P9"/>
    <mergeCell ref="S6:S9"/>
    <mergeCell ref="A16:A17"/>
    <mergeCell ref="B16:B17"/>
    <mergeCell ref="A18:A19"/>
    <mergeCell ref="B18:B19"/>
    <mergeCell ref="A20:A21"/>
    <mergeCell ref="B20:B21"/>
    <mergeCell ref="A10:A11"/>
    <mergeCell ref="B10:B11"/>
    <mergeCell ref="A12:A13"/>
    <mergeCell ref="B12:B13"/>
    <mergeCell ref="A14:A15"/>
    <mergeCell ref="B14:B15"/>
    <mergeCell ref="AC10:AC11"/>
    <mergeCell ref="AC12:AC13"/>
    <mergeCell ref="AC14:AC15"/>
    <mergeCell ref="AB2:AB3"/>
    <mergeCell ref="AC2:AC3"/>
    <mergeCell ref="AB4:AB6"/>
    <mergeCell ref="AC4:AC6"/>
    <mergeCell ref="T6:T9"/>
    <mergeCell ref="U6:U9"/>
    <mergeCell ref="V6:V9"/>
    <mergeCell ref="AB7:AB9"/>
    <mergeCell ref="AC7:AC9"/>
    <mergeCell ref="W6:W9"/>
    <mergeCell ref="Z6:Z9"/>
    <mergeCell ref="AA7:AA8"/>
    <mergeCell ref="X6:X9"/>
    <mergeCell ref="Y6:Y9"/>
    <mergeCell ref="E5:G5"/>
    <mergeCell ref="I5:AA5"/>
    <mergeCell ref="F6:F9"/>
    <mergeCell ref="G6:G7"/>
    <mergeCell ref="H6:H9"/>
    <mergeCell ref="A2:A9"/>
    <mergeCell ref="B2:B4"/>
    <mergeCell ref="C2:C4"/>
    <mergeCell ref="D2:G4"/>
    <mergeCell ref="H2:H4"/>
    <mergeCell ref="I2:AA4"/>
    <mergeCell ref="B6:B9"/>
    <mergeCell ref="C6:C9"/>
    <mergeCell ref="D6:D9"/>
    <mergeCell ref="J6:J9"/>
    <mergeCell ref="M6:M9"/>
    <mergeCell ref="G8:G9"/>
    <mergeCell ref="I7:I8"/>
    <mergeCell ref="E6:E7"/>
    <mergeCell ref="K6:K9"/>
    <mergeCell ref="L6:L9"/>
    <mergeCell ref="Q6:Q9"/>
    <mergeCell ref="E8:E9"/>
    <mergeCell ref="R6:R9"/>
    <mergeCell ref="AC16:AC17"/>
    <mergeCell ref="AC18:AC19"/>
    <mergeCell ref="AC20:AC21"/>
    <mergeCell ref="AC22:AC23"/>
    <mergeCell ref="AC24:AC25"/>
    <mergeCell ref="AC26:AC27"/>
    <mergeCell ref="AC28:AC29"/>
    <mergeCell ref="AC30:AC31"/>
    <mergeCell ref="AC32:AC33"/>
    <mergeCell ref="AC34:AC35"/>
    <mergeCell ref="AC36:AC37"/>
    <mergeCell ref="AC38:AC39"/>
    <mergeCell ref="AC40:AC41"/>
    <mergeCell ref="AC42:AC43"/>
    <mergeCell ref="AC44:AC45"/>
    <mergeCell ref="AC46:AC47"/>
    <mergeCell ref="AC48:AC49"/>
    <mergeCell ref="AC50:AC51"/>
    <mergeCell ref="A72:D72"/>
    <mergeCell ref="B40:B41"/>
    <mergeCell ref="A40:A41"/>
    <mergeCell ref="AC54:AC55"/>
    <mergeCell ref="AC56:AC57"/>
    <mergeCell ref="AC58:AC59"/>
    <mergeCell ref="AC60:AC61"/>
    <mergeCell ref="AC62:AC63"/>
    <mergeCell ref="AC64:AC65"/>
    <mergeCell ref="AC66:AC67"/>
    <mergeCell ref="AC68:AC69"/>
    <mergeCell ref="AC70:AC71"/>
    <mergeCell ref="AC52:AC53"/>
    <mergeCell ref="A46:A47"/>
    <mergeCell ref="B46:B47"/>
    <mergeCell ref="A48:A49"/>
    <mergeCell ref="B48:B49"/>
    <mergeCell ref="A50:A51"/>
    <mergeCell ref="B50:B51"/>
    <mergeCell ref="A42:A43"/>
    <mergeCell ref="B42:B43"/>
    <mergeCell ref="A44:A45"/>
    <mergeCell ref="B44:B45"/>
    <mergeCell ref="A58:A59"/>
  </mergeCells>
  <phoneticPr fontId="1"/>
  <pageMargins left="0.47244094488188981" right="0.31496062992125984" top="0.59055118110236227" bottom="0.19685039370078741" header="0.31496062992125984" footer="0.31496062992125984"/>
  <pageSetup paperSize="9" scale="45" orientation="landscape" r:id="rId1"/>
  <rowBreaks count="1" manualBreakCount="1">
    <brk id="39"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8FA81-EAB8-46D4-A8D2-ACF5EB48DE2A}">
  <dimension ref="A1:AC71"/>
  <sheetViews>
    <sheetView zoomScale="50" zoomScaleNormal="50" workbookViewId="0">
      <pane xSplit="4" ySplit="9" topLeftCell="E10" activePane="bottomRight" state="frozen"/>
      <selection activeCell="E10" sqref="E10:AA71"/>
      <selection pane="topRight" activeCell="E10" sqref="E10:AA71"/>
      <selection pane="bottomLeft" activeCell="E10" sqref="E10:AA71"/>
      <selection pane="bottomRight" activeCell="E69" sqref="E69"/>
    </sheetView>
  </sheetViews>
  <sheetFormatPr defaultRowHeight="33.75" customHeight="1"/>
  <cols>
    <col min="1" max="1" width="3.625" customWidth="1"/>
    <col min="2" max="2" width="34.375" customWidth="1"/>
    <col min="3" max="3" width="0.375" customWidth="1"/>
    <col min="4" max="4" width="4.625" customWidth="1"/>
    <col min="5" max="7" width="10" customWidth="1"/>
    <col min="8" max="8" width="0.25" customWidth="1"/>
    <col min="9" max="22" width="10" customWidth="1"/>
    <col min="23" max="24" width="10" style="17" customWidth="1"/>
    <col min="25" max="27" width="10" customWidth="1"/>
    <col min="28" max="28" width="0.25" customWidth="1"/>
    <col min="29" max="29" width="14" customWidth="1"/>
  </cols>
  <sheetData>
    <row r="1" spans="1:29" ht="26.25" customHeight="1" thickBot="1">
      <c r="B1" s="4"/>
    </row>
    <row r="2" spans="1:29" ht="15" customHeight="1">
      <c r="A2" s="377" t="s">
        <v>24</v>
      </c>
      <c r="B2" s="380" t="s">
        <v>332</v>
      </c>
      <c r="C2" s="383"/>
      <c r="D2" s="355" t="s">
        <v>189</v>
      </c>
      <c r="E2" s="356"/>
      <c r="F2" s="356"/>
      <c r="G2" s="356"/>
      <c r="H2" s="386"/>
      <c r="I2" s="355" t="s">
        <v>188</v>
      </c>
      <c r="J2" s="356"/>
      <c r="K2" s="356"/>
      <c r="L2" s="356"/>
      <c r="M2" s="356"/>
      <c r="N2" s="356"/>
      <c r="O2" s="356"/>
      <c r="P2" s="356"/>
      <c r="Q2" s="356"/>
      <c r="R2" s="356"/>
      <c r="S2" s="356"/>
      <c r="T2" s="356"/>
      <c r="U2" s="356"/>
      <c r="V2" s="356"/>
      <c r="W2" s="356"/>
      <c r="X2" s="356"/>
      <c r="Y2" s="356"/>
      <c r="Z2" s="356"/>
      <c r="AA2" s="356"/>
      <c r="AB2" s="424"/>
      <c r="AC2" s="445" t="s">
        <v>265</v>
      </c>
    </row>
    <row r="3" spans="1:29" ht="18.75" customHeight="1">
      <c r="A3" s="378"/>
      <c r="B3" s="381"/>
      <c r="C3" s="384"/>
      <c r="D3" s="358"/>
      <c r="E3" s="359"/>
      <c r="F3" s="359"/>
      <c r="G3" s="359"/>
      <c r="H3" s="387"/>
      <c r="I3" s="358"/>
      <c r="J3" s="359"/>
      <c r="K3" s="359"/>
      <c r="L3" s="359"/>
      <c r="M3" s="359"/>
      <c r="N3" s="359"/>
      <c r="O3" s="359"/>
      <c r="P3" s="359"/>
      <c r="Q3" s="359"/>
      <c r="R3" s="359"/>
      <c r="S3" s="359"/>
      <c r="T3" s="359"/>
      <c r="U3" s="359"/>
      <c r="V3" s="359"/>
      <c r="W3" s="359"/>
      <c r="X3" s="359"/>
      <c r="Y3" s="359"/>
      <c r="Z3" s="359"/>
      <c r="AA3" s="359"/>
      <c r="AB3" s="425"/>
      <c r="AC3" s="446"/>
    </row>
    <row r="4" spans="1:29" ht="11.25" customHeight="1">
      <c r="A4" s="378"/>
      <c r="B4" s="382"/>
      <c r="C4" s="385"/>
      <c r="D4" s="361"/>
      <c r="E4" s="362"/>
      <c r="F4" s="362"/>
      <c r="G4" s="362"/>
      <c r="H4" s="388"/>
      <c r="I4" s="361"/>
      <c r="J4" s="362"/>
      <c r="K4" s="362"/>
      <c r="L4" s="362"/>
      <c r="M4" s="362"/>
      <c r="N4" s="362"/>
      <c r="O4" s="362"/>
      <c r="P4" s="362"/>
      <c r="Q4" s="362"/>
      <c r="R4" s="362"/>
      <c r="S4" s="362"/>
      <c r="T4" s="362"/>
      <c r="U4" s="362"/>
      <c r="V4" s="362"/>
      <c r="W4" s="362"/>
      <c r="X4" s="362"/>
      <c r="Y4" s="362"/>
      <c r="Z4" s="362"/>
      <c r="AA4" s="362"/>
      <c r="AB4" s="434"/>
      <c r="AC4" s="447" t="s">
        <v>49</v>
      </c>
    </row>
    <row r="5" spans="1:29" ht="2.25" customHeight="1">
      <c r="A5" s="378"/>
      <c r="B5" s="38"/>
      <c r="C5" s="3"/>
      <c r="D5" s="204"/>
      <c r="E5" s="397"/>
      <c r="F5" s="398"/>
      <c r="G5" s="398"/>
      <c r="H5" s="3"/>
      <c r="I5" s="397"/>
      <c r="J5" s="398"/>
      <c r="K5" s="398"/>
      <c r="L5" s="398"/>
      <c r="M5" s="398"/>
      <c r="N5" s="398"/>
      <c r="O5" s="398"/>
      <c r="P5" s="398"/>
      <c r="Q5" s="398"/>
      <c r="R5" s="398"/>
      <c r="S5" s="398"/>
      <c r="T5" s="398"/>
      <c r="U5" s="398"/>
      <c r="V5" s="398"/>
      <c r="W5" s="398"/>
      <c r="X5" s="398"/>
      <c r="Y5" s="398"/>
      <c r="Z5" s="398"/>
      <c r="AA5" s="398"/>
      <c r="AB5" s="435"/>
      <c r="AC5" s="448"/>
    </row>
    <row r="6" spans="1:29" s="201" customFormat="1" ht="15" customHeight="1">
      <c r="A6" s="378"/>
      <c r="B6" s="389" t="s">
        <v>51</v>
      </c>
      <c r="C6" s="391"/>
      <c r="D6" s="391"/>
      <c r="E6" s="391" t="s">
        <v>26</v>
      </c>
      <c r="F6" s="391" t="str">
        <f>雑収入</f>
        <v>雑収入</v>
      </c>
      <c r="G6" s="444" t="s">
        <v>27</v>
      </c>
      <c r="H6" s="391"/>
      <c r="I6" s="199" t="s">
        <v>28</v>
      </c>
      <c r="J6" s="391" t="str">
        <f>租税公課</f>
        <v>租税公課</v>
      </c>
      <c r="K6" s="391" t="s">
        <v>101</v>
      </c>
      <c r="L6" s="391" t="s">
        <v>6</v>
      </c>
      <c r="M6" s="364" t="str">
        <f>通信費</f>
        <v>通信費</v>
      </c>
      <c r="N6" s="391" t="s">
        <v>8</v>
      </c>
      <c r="O6" s="391" t="s">
        <v>9</v>
      </c>
      <c r="P6" s="391" t="s">
        <v>10</v>
      </c>
      <c r="Q6" s="364" t="str">
        <f>修繕費</f>
        <v>修繕費</v>
      </c>
      <c r="R6" s="391" t="str">
        <f>消耗品費</f>
        <v>消耗品費</v>
      </c>
      <c r="S6" s="391" t="s">
        <v>97</v>
      </c>
      <c r="T6" s="391" t="str">
        <f>給料賃金</f>
        <v>給料賃金</v>
      </c>
      <c r="U6" s="391" t="str">
        <f>外注工賃</f>
        <v>外注工賃</v>
      </c>
      <c r="V6" s="391" t="s">
        <v>16</v>
      </c>
      <c r="W6" s="364" t="str">
        <f>車両費</f>
        <v>車両費</v>
      </c>
      <c r="X6" s="484" t="str">
        <f>空欄1</f>
        <v>空欄1</v>
      </c>
      <c r="Y6" s="391" t="str">
        <f>空欄2</f>
        <v>空欄2</v>
      </c>
      <c r="Z6" s="391" t="str">
        <f>雑費</f>
        <v>雑費</v>
      </c>
      <c r="AA6" s="200" t="s">
        <v>143</v>
      </c>
      <c r="AB6" s="425"/>
      <c r="AC6" s="446"/>
    </row>
    <row r="7" spans="1:29" s="201" customFormat="1" ht="7.5" customHeight="1">
      <c r="A7" s="378"/>
      <c r="B7" s="387"/>
      <c r="C7" s="392"/>
      <c r="D7" s="392"/>
      <c r="E7" s="392"/>
      <c r="F7" s="392"/>
      <c r="G7" s="426"/>
      <c r="H7" s="392"/>
      <c r="I7" s="366" t="s">
        <v>38</v>
      </c>
      <c r="J7" s="392"/>
      <c r="K7" s="392"/>
      <c r="L7" s="392"/>
      <c r="M7" s="366"/>
      <c r="N7" s="392"/>
      <c r="O7" s="392"/>
      <c r="P7" s="392"/>
      <c r="Q7" s="366"/>
      <c r="R7" s="392"/>
      <c r="S7" s="392"/>
      <c r="T7" s="392"/>
      <c r="U7" s="392"/>
      <c r="V7" s="392"/>
      <c r="W7" s="366"/>
      <c r="X7" s="485"/>
      <c r="Y7" s="392"/>
      <c r="Z7" s="392"/>
      <c r="AA7" s="426" t="s">
        <v>98</v>
      </c>
      <c r="AB7" s="391"/>
      <c r="AC7" s="489">
        <f>繰越・1月</f>
        <v>0</v>
      </c>
    </row>
    <row r="8" spans="1:29" s="201" customFormat="1" ht="7.5" customHeight="1">
      <c r="A8" s="378"/>
      <c r="B8" s="387"/>
      <c r="C8" s="392"/>
      <c r="D8" s="392"/>
      <c r="E8" s="392" t="s">
        <v>36</v>
      </c>
      <c r="F8" s="392"/>
      <c r="G8" s="426" t="s">
        <v>37</v>
      </c>
      <c r="H8" s="392"/>
      <c r="I8" s="366"/>
      <c r="J8" s="392"/>
      <c r="K8" s="392"/>
      <c r="L8" s="392"/>
      <c r="M8" s="366"/>
      <c r="N8" s="392"/>
      <c r="O8" s="392"/>
      <c r="P8" s="392"/>
      <c r="Q8" s="366"/>
      <c r="R8" s="392"/>
      <c r="S8" s="392"/>
      <c r="T8" s="392"/>
      <c r="U8" s="392"/>
      <c r="V8" s="392"/>
      <c r="W8" s="366"/>
      <c r="X8" s="485"/>
      <c r="Y8" s="392"/>
      <c r="Z8" s="392"/>
      <c r="AA8" s="426"/>
      <c r="AB8" s="392"/>
      <c r="AC8" s="490"/>
    </row>
    <row r="9" spans="1:29" s="201" customFormat="1" ht="15" customHeight="1" thickBot="1">
      <c r="A9" s="379"/>
      <c r="B9" s="390"/>
      <c r="C9" s="393"/>
      <c r="D9" s="393"/>
      <c r="E9" s="393"/>
      <c r="F9" s="393"/>
      <c r="G9" s="416"/>
      <c r="H9" s="393"/>
      <c r="I9" s="202" t="s">
        <v>50</v>
      </c>
      <c r="J9" s="393"/>
      <c r="K9" s="393"/>
      <c r="L9" s="393"/>
      <c r="M9" s="368"/>
      <c r="N9" s="393"/>
      <c r="O9" s="393"/>
      <c r="P9" s="393"/>
      <c r="Q9" s="368"/>
      <c r="R9" s="393"/>
      <c r="S9" s="393"/>
      <c r="T9" s="393"/>
      <c r="U9" s="393"/>
      <c r="V9" s="393"/>
      <c r="W9" s="368"/>
      <c r="X9" s="486"/>
      <c r="Y9" s="393"/>
      <c r="Z9" s="393"/>
      <c r="AA9" s="203" t="s">
        <v>231</v>
      </c>
      <c r="AB9" s="392"/>
      <c r="AC9" s="490"/>
    </row>
    <row r="10" spans="1:29" s="7" customFormat="1" ht="33.75" customHeight="1">
      <c r="A10" s="455">
        <v>1</v>
      </c>
      <c r="B10" s="481"/>
      <c r="C10" s="13"/>
      <c r="D10" s="273" t="s">
        <v>177</v>
      </c>
      <c r="E10" s="216"/>
      <c r="F10" s="217"/>
      <c r="G10" s="217"/>
      <c r="H10" s="218"/>
      <c r="I10" s="217"/>
      <c r="J10" s="218"/>
      <c r="K10" s="217"/>
      <c r="L10" s="218"/>
      <c r="M10" s="217"/>
      <c r="N10" s="218"/>
      <c r="O10" s="217"/>
      <c r="P10" s="218"/>
      <c r="Q10" s="217"/>
      <c r="R10" s="218"/>
      <c r="S10" s="217"/>
      <c r="T10" s="218"/>
      <c r="U10" s="217"/>
      <c r="V10" s="217"/>
      <c r="W10" s="217"/>
      <c r="X10" s="219"/>
      <c r="Y10" s="217"/>
      <c r="Z10" s="217"/>
      <c r="AA10" s="217"/>
      <c r="AB10" s="196"/>
      <c r="AC10" s="460">
        <f>SUM($E11:$G11)-SUM($I11:$AA11)+$AC$7</f>
        <v>0</v>
      </c>
    </row>
    <row r="11" spans="1:29" s="7" customFormat="1" ht="33.75" customHeight="1" thickBot="1">
      <c r="A11" s="459"/>
      <c r="B11" s="487"/>
      <c r="C11" s="15"/>
      <c r="D11" s="274" t="s">
        <v>105</v>
      </c>
      <c r="E11" s="277"/>
      <c r="F11" s="278"/>
      <c r="G11" s="278"/>
      <c r="H11" s="276"/>
      <c r="I11" s="278"/>
      <c r="J11" s="276"/>
      <c r="K11" s="278"/>
      <c r="L11" s="276"/>
      <c r="M11" s="278"/>
      <c r="N11" s="276"/>
      <c r="O11" s="278"/>
      <c r="P11" s="276"/>
      <c r="Q11" s="278"/>
      <c r="R11" s="276"/>
      <c r="S11" s="278"/>
      <c r="T11" s="276"/>
      <c r="U11" s="278"/>
      <c r="V11" s="278"/>
      <c r="W11" s="278"/>
      <c r="X11" s="284"/>
      <c r="Y11" s="278"/>
      <c r="Z11" s="278"/>
      <c r="AA11" s="278"/>
      <c r="AB11" s="197"/>
      <c r="AC11" s="454"/>
    </row>
    <row r="12" spans="1:29" s="7" customFormat="1" ht="33.75" customHeight="1">
      <c r="A12" s="449">
        <v>2</v>
      </c>
      <c r="B12" s="483"/>
      <c r="C12" s="13"/>
      <c r="D12" s="273" t="s">
        <v>177</v>
      </c>
      <c r="E12" s="216"/>
      <c r="F12" s="217"/>
      <c r="G12" s="217"/>
      <c r="H12" s="218"/>
      <c r="I12" s="218"/>
      <c r="J12" s="218"/>
      <c r="K12" s="218"/>
      <c r="L12" s="218"/>
      <c r="M12" s="218"/>
      <c r="N12" s="218"/>
      <c r="O12" s="218"/>
      <c r="P12" s="218"/>
      <c r="Q12" s="218"/>
      <c r="R12" s="218"/>
      <c r="S12" s="218"/>
      <c r="T12" s="218"/>
      <c r="U12" s="218"/>
      <c r="V12" s="218"/>
      <c r="W12" s="218"/>
      <c r="X12" s="221"/>
      <c r="Y12" s="218"/>
      <c r="Z12" s="218"/>
      <c r="AA12" s="218"/>
      <c r="AB12" s="196"/>
      <c r="AC12" s="453">
        <f>SUM($E13:$G13)-SUM($I13:$AA13)+$AC10</f>
        <v>0</v>
      </c>
    </row>
    <row r="13" spans="1:29" s="7" customFormat="1" ht="33.75" customHeight="1" thickBot="1">
      <c r="A13" s="450"/>
      <c r="B13" s="482"/>
      <c r="C13" s="15"/>
      <c r="D13" s="274" t="s">
        <v>105</v>
      </c>
      <c r="E13" s="277"/>
      <c r="F13" s="278"/>
      <c r="G13" s="278"/>
      <c r="H13" s="276"/>
      <c r="I13" s="276"/>
      <c r="J13" s="276"/>
      <c r="K13" s="276"/>
      <c r="L13" s="276"/>
      <c r="M13" s="276"/>
      <c r="N13" s="276"/>
      <c r="O13" s="276"/>
      <c r="P13" s="276"/>
      <c r="Q13" s="276"/>
      <c r="R13" s="276"/>
      <c r="S13" s="276"/>
      <c r="T13" s="276"/>
      <c r="U13" s="276"/>
      <c r="V13" s="276"/>
      <c r="W13" s="276"/>
      <c r="X13" s="279"/>
      <c r="Y13" s="276"/>
      <c r="Z13" s="276"/>
      <c r="AA13" s="276"/>
      <c r="AB13" s="197"/>
      <c r="AC13" s="454"/>
    </row>
    <row r="14" spans="1:29" s="7" customFormat="1" ht="33.75" customHeight="1">
      <c r="A14" s="455">
        <v>3</v>
      </c>
      <c r="B14" s="481"/>
      <c r="C14" s="13"/>
      <c r="D14" s="273" t="s">
        <v>177</v>
      </c>
      <c r="E14" s="216"/>
      <c r="F14" s="217"/>
      <c r="G14" s="217"/>
      <c r="H14" s="218"/>
      <c r="I14" s="218"/>
      <c r="J14" s="218"/>
      <c r="K14" s="218"/>
      <c r="L14" s="218"/>
      <c r="M14" s="218"/>
      <c r="N14" s="218"/>
      <c r="O14" s="218"/>
      <c r="P14" s="218"/>
      <c r="Q14" s="218"/>
      <c r="R14" s="218"/>
      <c r="S14" s="218"/>
      <c r="T14" s="218"/>
      <c r="U14" s="218"/>
      <c r="V14" s="218"/>
      <c r="W14" s="218"/>
      <c r="X14" s="221"/>
      <c r="Y14" s="218"/>
      <c r="Z14" s="218"/>
      <c r="AA14" s="218"/>
      <c r="AB14" s="196"/>
      <c r="AC14" s="453">
        <f>SUM($E15:$G15)-SUM($I15:$AA15)+$AC12</f>
        <v>0</v>
      </c>
    </row>
    <row r="15" spans="1:29" s="7" customFormat="1" ht="33.75" customHeight="1" thickBot="1">
      <c r="A15" s="456"/>
      <c r="B15" s="482"/>
      <c r="C15" s="15"/>
      <c r="D15" s="274" t="s">
        <v>105</v>
      </c>
      <c r="E15" s="277"/>
      <c r="F15" s="278"/>
      <c r="G15" s="278"/>
      <c r="H15" s="276"/>
      <c r="I15" s="276"/>
      <c r="J15" s="276"/>
      <c r="K15" s="276"/>
      <c r="L15" s="276"/>
      <c r="M15" s="276"/>
      <c r="N15" s="276"/>
      <c r="O15" s="276"/>
      <c r="P15" s="276"/>
      <c r="Q15" s="276"/>
      <c r="R15" s="276"/>
      <c r="S15" s="276"/>
      <c r="T15" s="276"/>
      <c r="U15" s="276"/>
      <c r="V15" s="276"/>
      <c r="W15" s="276"/>
      <c r="X15" s="279"/>
      <c r="Y15" s="276"/>
      <c r="Z15" s="276"/>
      <c r="AA15" s="276"/>
      <c r="AB15" s="197"/>
      <c r="AC15" s="454"/>
    </row>
    <row r="16" spans="1:29" s="7" customFormat="1" ht="33.75" customHeight="1">
      <c r="A16" s="464">
        <v>4</v>
      </c>
      <c r="B16" s="481"/>
      <c r="C16" s="13"/>
      <c r="D16" s="273" t="s">
        <v>177</v>
      </c>
      <c r="E16" s="216"/>
      <c r="F16" s="217"/>
      <c r="G16" s="217"/>
      <c r="H16" s="218"/>
      <c r="I16" s="218"/>
      <c r="J16" s="218"/>
      <c r="K16" s="218"/>
      <c r="L16" s="218"/>
      <c r="M16" s="218"/>
      <c r="N16" s="218"/>
      <c r="O16" s="218"/>
      <c r="P16" s="218"/>
      <c r="Q16" s="218"/>
      <c r="R16" s="218"/>
      <c r="S16" s="218"/>
      <c r="T16" s="218"/>
      <c r="U16" s="218"/>
      <c r="V16" s="218"/>
      <c r="W16" s="218"/>
      <c r="X16" s="221"/>
      <c r="Y16" s="218"/>
      <c r="Z16" s="218"/>
      <c r="AA16" s="218"/>
      <c r="AB16" s="196"/>
      <c r="AC16" s="453">
        <f t="shared" ref="AC16" si="0">SUM($E17:$G17)-SUM($I17:$AA17)+$AC14</f>
        <v>0</v>
      </c>
    </row>
    <row r="17" spans="1:29" s="7" customFormat="1" ht="33.75" customHeight="1" thickBot="1">
      <c r="A17" s="450"/>
      <c r="B17" s="482"/>
      <c r="C17" s="15"/>
      <c r="D17" s="274" t="s">
        <v>105</v>
      </c>
      <c r="E17" s="277"/>
      <c r="F17" s="278"/>
      <c r="G17" s="278"/>
      <c r="H17" s="276"/>
      <c r="I17" s="276"/>
      <c r="J17" s="276"/>
      <c r="K17" s="276"/>
      <c r="L17" s="276"/>
      <c r="M17" s="276"/>
      <c r="N17" s="276"/>
      <c r="O17" s="276"/>
      <c r="P17" s="276"/>
      <c r="Q17" s="276"/>
      <c r="R17" s="276"/>
      <c r="S17" s="276"/>
      <c r="T17" s="276"/>
      <c r="U17" s="276"/>
      <c r="V17" s="276"/>
      <c r="W17" s="276"/>
      <c r="X17" s="279"/>
      <c r="Y17" s="276"/>
      <c r="Z17" s="276"/>
      <c r="AA17" s="276"/>
      <c r="AB17" s="197"/>
      <c r="AC17" s="454"/>
    </row>
    <row r="18" spans="1:29" s="7" customFormat="1" ht="33.75" customHeight="1">
      <c r="A18" s="455">
        <v>5</v>
      </c>
      <c r="B18" s="481"/>
      <c r="C18" s="13"/>
      <c r="D18" s="273" t="s">
        <v>177</v>
      </c>
      <c r="E18" s="216"/>
      <c r="F18" s="217"/>
      <c r="G18" s="217"/>
      <c r="H18" s="218"/>
      <c r="I18" s="218"/>
      <c r="J18" s="218"/>
      <c r="K18" s="218"/>
      <c r="L18" s="218"/>
      <c r="M18" s="218"/>
      <c r="N18" s="218"/>
      <c r="O18" s="218"/>
      <c r="P18" s="218"/>
      <c r="Q18" s="218"/>
      <c r="R18" s="218"/>
      <c r="S18" s="218"/>
      <c r="T18" s="218"/>
      <c r="U18" s="218"/>
      <c r="V18" s="218"/>
      <c r="W18" s="218"/>
      <c r="X18" s="221"/>
      <c r="Y18" s="218"/>
      <c r="Z18" s="218"/>
      <c r="AA18" s="218"/>
      <c r="AB18" s="196"/>
      <c r="AC18" s="453">
        <f t="shared" ref="AC18" si="1">SUM($E19:$G19)-SUM($I19:$AA19)+$AC16</f>
        <v>0</v>
      </c>
    </row>
    <row r="19" spans="1:29" s="7" customFormat="1" ht="33.75" customHeight="1" thickBot="1">
      <c r="A19" s="456"/>
      <c r="B19" s="482"/>
      <c r="C19" s="15"/>
      <c r="D19" s="274" t="s">
        <v>105</v>
      </c>
      <c r="E19" s="277"/>
      <c r="F19" s="278"/>
      <c r="G19" s="278"/>
      <c r="H19" s="276"/>
      <c r="I19" s="276"/>
      <c r="J19" s="276"/>
      <c r="K19" s="276"/>
      <c r="L19" s="276"/>
      <c r="M19" s="276"/>
      <c r="N19" s="276"/>
      <c r="O19" s="276"/>
      <c r="P19" s="276"/>
      <c r="Q19" s="276"/>
      <c r="R19" s="276"/>
      <c r="S19" s="276"/>
      <c r="T19" s="276"/>
      <c r="U19" s="276"/>
      <c r="V19" s="276"/>
      <c r="W19" s="276"/>
      <c r="X19" s="279"/>
      <c r="Y19" s="276"/>
      <c r="Z19" s="276"/>
      <c r="AA19" s="276"/>
      <c r="AB19" s="197"/>
      <c r="AC19" s="454"/>
    </row>
    <row r="20" spans="1:29" s="7" customFormat="1" ht="33.75" customHeight="1">
      <c r="A20" s="464">
        <v>6</v>
      </c>
      <c r="B20" s="481"/>
      <c r="C20" s="13"/>
      <c r="D20" s="273" t="s">
        <v>177</v>
      </c>
      <c r="E20" s="216"/>
      <c r="F20" s="217"/>
      <c r="G20" s="217"/>
      <c r="H20" s="218"/>
      <c r="I20" s="218"/>
      <c r="J20" s="218"/>
      <c r="K20" s="218"/>
      <c r="L20" s="218"/>
      <c r="M20" s="218"/>
      <c r="N20" s="218"/>
      <c r="O20" s="218"/>
      <c r="P20" s="218"/>
      <c r="Q20" s="218"/>
      <c r="R20" s="218"/>
      <c r="S20" s="218"/>
      <c r="T20" s="218"/>
      <c r="U20" s="218"/>
      <c r="V20" s="218"/>
      <c r="W20" s="218"/>
      <c r="X20" s="221"/>
      <c r="Y20" s="218"/>
      <c r="Z20" s="218"/>
      <c r="AA20" s="218"/>
      <c r="AB20" s="196"/>
      <c r="AC20" s="453">
        <f t="shared" ref="AC20" si="2">SUM($E21:$G21)-SUM($I21:$AA21)+$AC18</f>
        <v>0</v>
      </c>
    </row>
    <row r="21" spans="1:29" s="7" customFormat="1" ht="33.75" customHeight="1" thickBot="1">
      <c r="A21" s="450"/>
      <c r="B21" s="482"/>
      <c r="C21" s="15"/>
      <c r="D21" s="274" t="s">
        <v>105</v>
      </c>
      <c r="E21" s="277"/>
      <c r="F21" s="278"/>
      <c r="G21" s="278"/>
      <c r="H21" s="276"/>
      <c r="I21" s="276"/>
      <c r="J21" s="276"/>
      <c r="K21" s="276"/>
      <c r="L21" s="276"/>
      <c r="M21" s="276"/>
      <c r="N21" s="276"/>
      <c r="O21" s="276"/>
      <c r="P21" s="276"/>
      <c r="Q21" s="276"/>
      <c r="R21" s="276"/>
      <c r="S21" s="276"/>
      <c r="T21" s="276"/>
      <c r="U21" s="276"/>
      <c r="V21" s="276"/>
      <c r="W21" s="276"/>
      <c r="X21" s="279"/>
      <c r="Y21" s="276"/>
      <c r="Z21" s="276"/>
      <c r="AA21" s="276"/>
      <c r="AB21" s="197"/>
      <c r="AC21" s="454"/>
    </row>
    <row r="22" spans="1:29" s="7" customFormat="1" ht="33.75" customHeight="1">
      <c r="A22" s="455">
        <v>7</v>
      </c>
      <c r="B22" s="481"/>
      <c r="C22" s="13"/>
      <c r="D22" s="273" t="s">
        <v>177</v>
      </c>
      <c r="E22" s="216"/>
      <c r="F22" s="217"/>
      <c r="G22" s="217"/>
      <c r="H22" s="218"/>
      <c r="I22" s="218"/>
      <c r="J22" s="218"/>
      <c r="K22" s="218"/>
      <c r="L22" s="218"/>
      <c r="M22" s="218"/>
      <c r="N22" s="218"/>
      <c r="O22" s="218"/>
      <c r="P22" s="218"/>
      <c r="Q22" s="218"/>
      <c r="R22" s="218"/>
      <c r="S22" s="218"/>
      <c r="T22" s="218"/>
      <c r="U22" s="218"/>
      <c r="V22" s="218"/>
      <c r="W22" s="218"/>
      <c r="X22" s="221"/>
      <c r="Y22" s="218"/>
      <c r="Z22" s="218"/>
      <c r="AA22" s="218"/>
      <c r="AB22" s="196"/>
      <c r="AC22" s="453">
        <f t="shared" ref="AC22" si="3">SUM($E23:$G23)-SUM($I23:$AA23)+$AC20</f>
        <v>0</v>
      </c>
    </row>
    <row r="23" spans="1:29" s="7" customFormat="1" ht="33.75" customHeight="1" thickBot="1">
      <c r="A23" s="456"/>
      <c r="B23" s="482"/>
      <c r="C23" s="15"/>
      <c r="D23" s="274" t="s">
        <v>105</v>
      </c>
      <c r="E23" s="277"/>
      <c r="F23" s="278"/>
      <c r="G23" s="278"/>
      <c r="H23" s="276"/>
      <c r="I23" s="276"/>
      <c r="J23" s="276"/>
      <c r="K23" s="276"/>
      <c r="L23" s="276"/>
      <c r="M23" s="276"/>
      <c r="N23" s="276"/>
      <c r="O23" s="276"/>
      <c r="P23" s="276"/>
      <c r="Q23" s="276"/>
      <c r="R23" s="276"/>
      <c r="S23" s="276"/>
      <c r="T23" s="276"/>
      <c r="U23" s="276"/>
      <c r="V23" s="276"/>
      <c r="W23" s="276"/>
      <c r="X23" s="279"/>
      <c r="Y23" s="276"/>
      <c r="Z23" s="276"/>
      <c r="AA23" s="276"/>
      <c r="AB23" s="197"/>
      <c r="AC23" s="454"/>
    </row>
    <row r="24" spans="1:29" s="7" customFormat="1" ht="33.75" customHeight="1">
      <c r="A24" s="464">
        <v>8</v>
      </c>
      <c r="B24" s="481"/>
      <c r="C24" s="13"/>
      <c r="D24" s="273" t="s">
        <v>177</v>
      </c>
      <c r="E24" s="216"/>
      <c r="F24" s="217"/>
      <c r="G24" s="217"/>
      <c r="H24" s="218"/>
      <c r="I24" s="218"/>
      <c r="J24" s="218"/>
      <c r="K24" s="218"/>
      <c r="L24" s="218"/>
      <c r="M24" s="218"/>
      <c r="N24" s="218"/>
      <c r="O24" s="218"/>
      <c r="P24" s="218"/>
      <c r="Q24" s="218"/>
      <c r="R24" s="218"/>
      <c r="S24" s="218"/>
      <c r="T24" s="218"/>
      <c r="U24" s="218"/>
      <c r="V24" s="218"/>
      <c r="W24" s="218"/>
      <c r="X24" s="221"/>
      <c r="Y24" s="218"/>
      <c r="Z24" s="218"/>
      <c r="AA24" s="218"/>
      <c r="AB24" s="196"/>
      <c r="AC24" s="453">
        <f t="shared" ref="AC24" si="4">SUM($E25:$G25)-SUM($I25:$AA25)+$AC22</f>
        <v>0</v>
      </c>
    </row>
    <row r="25" spans="1:29" s="7" customFormat="1" ht="33.75" customHeight="1" thickBot="1">
      <c r="A25" s="450"/>
      <c r="B25" s="482"/>
      <c r="C25" s="15"/>
      <c r="D25" s="274" t="s">
        <v>105</v>
      </c>
      <c r="E25" s="277"/>
      <c r="F25" s="278"/>
      <c r="G25" s="278"/>
      <c r="H25" s="276"/>
      <c r="I25" s="276"/>
      <c r="J25" s="276"/>
      <c r="K25" s="276"/>
      <c r="L25" s="276"/>
      <c r="M25" s="276"/>
      <c r="N25" s="276"/>
      <c r="O25" s="276"/>
      <c r="P25" s="276"/>
      <c r="Q25" s="276"/>
      <c r="R25" s="276"/>
      <c r="S25" s="276"/>
      <c r="T25" s="276"/>
      <c r="U25" s="276"/>
      <c r="V25" s="276"/>
      <c r="W25" s="276"/>
      <c r="X25" s="279"/>
      <c r="Y25" s="276"/>
      <c r="Z25" s="276"/>
      <c r="AA25" s="276"/>
      <c r="AB25" s="197"/>
      <c r="AC25" s="454"/>
    </row>
    <row r="26" spans="1:29" s="7" customFormat="1" ht="33.75" customHeight="1">
      <c r="A26" s="455">
        <v>9</v>
      </c>
      <c r="B26" s="481"/>
      <c r="C26" s="13"/>
      <c r="D26" s="273" t="s">
        <v>177</v>
      </c>
      <c r="E26" s="216"/>
      <c r="F26" s="217"/>
      <c r="G26" s="217"/>
      <c r="H26" s="218"/>
      <c r="I26" s="218"/>
      <c r="J26" s="218"/>
      <c r="K26" s="218"/>
      <c r="L26" s="218"/>
      <c r="M26" s="218"/>
      <c r="N26" s="218"/>
      <c r="O26" s="218"/>
      <c r="P26" s="218"/>
      <c r="Q26" s="218"/>
      <c r="R26" s="218"/>
      <c r="S26" s="218"/>
      <c r="T26" s="218"/>
      <c r="U26" s="218"/>
      <c r="V26" s="218"/>
      <c r="W26" s="218"/>
      <c r="X26" s="221"/>
      <c r="Y26" s="218"/>
      <c r="Z26" s="218"/>
      <c r="AA26" s="218"/>
      <c r="AB26" s="196"/>
      <c r="AC26" s="453">
        <f t="shared" ref="AC26" si="5">SUM($E27:$G27)-SUM($I27:$AA27)+$AC24</f>
        <v>0</v>
      </c>
    </row>
    <row r="27" spans="1:29" s="7" customFormat="1" ht="33.75" customHeight="1" thickBot="1">
      <c r="A27" s="456"/>
      <c r="B27" s="482"/>
      <c r="C27" s="15"/>
      <c r="D27" s="274" t="s">
        <v>105</v>
      </c>
      <c r="E27" s="277"/>
      <c r="F27" s="278"/>
      <c r="G27" s="278"/>
      <c r="H27" s="276"/>
      <c r="I27" s="276"/>
      <c r="J27" s="276"/>
      <c r="K27" s="276"/>
      <c r="L27" s="276"/>
      <c r="M27" s="276"/>
      <c r="N27" s="276"/>
      <c r="O27" s="276"/>
      <c r="P27" s="276"/>
      <c r="Q27" s="276"/>
      <c r="R27" s="276"/>
      <c r="S27" s="276"/>
      <c r="T27" s="276"/>
      <c r="U27" s="276"/>
      <c r="V27" s="276"/>
      <c r="W27" s="276"/>
      <c r="X27" s="279"/>
      <c r="Y27" s="276"/>
      <c r="Z27" s="276"/>
      <c r="AA27" s="276"/>
      <c r="AB27" s="197"/>
      <c r="AC27" s="454"/>
    </row>
    <row r="28" spans="1:29" s="7" customFormat="1" ht="33.75" customHeight="1">
      <c r="A28" s="464">
        <v>10</v>
      </c>
      <c r="B28" s="481"/>
      <c r="C28" s="13"/>
      <c r="D28" s="273" t="s">
        <v>177</v>
      </c>
      <c r="E28" s="216"/>
      <c r="F28" s="217"/>
      <c r="G28" s="217"/>
      <c r="H28" s="218"/>
      <c r="I28" s="218"/>
      <c r="J28" s="218"/>
      <c r="K28" s="218"/>
      <c r="L28" s="218"/>
      <c r="M28" s="218"/>
      <c r="N28" s="218"/>
      <c r="O28" s="218"/>
      <c r="P28" s="218"/>
      <c r="Q28" s="218"/>
      <c r="R28" s="218"/>
      <c r="S28" s="218"/>
      <c r="T28" s="218"/>
      <c r="U28" s="218"/>
      <c r="V28" s="218"/>
      <c r="W28" s="218"/>
      <c r="X28" s="221"/>
      <c r="Y28" s="218"/>
      <c r="Z28" s="218"/>
      <c r="AA28" s="218"/>
      <c r="AB28" s="196"/>
      <c r="AC28" s="453">
        <f t="shared" ref="AC28" si="6">SUM($E29:$G29)-SUM($I29:$AA29)+$AC26</f>
        <v>0</v>
      </c>
    </row>
    <row r="29" spans="1:29" s="7" customFormat="1" ht="33.75" customHeight="1" thickBot="1">
      <c r="A29" s="450"/>
      <c r="B29" s="482"/>
      <c r="C29" s="15"/>
      <c r="D29" s="274" t="s">
        <v>105</v>
      </c>
      <c r="E29" s="277"/>
      <c r="F29" s="278"/>
      <c r="G29" s="278"/>
      <c r="H29" s="276"/>
      <c r="I29" s="276"/>
      <c r="J29" s="276"/>
      <c r="K29" s="276"/>
      <c r="L29" s="276"/>
      <c r="M29" s="276"/>
      <c r="N29" s="276"/>
      <c r="O29" s="276"/>
      <c r="P29" s="276"/>
      <c r="Q29" s="276"/>
      <c r="R29" s="276"/>
      <c r="S29" s="276"/>
      <c r="T29" s="276"/>
      <c r="U29" s="276"/>
      <c r="V29" s="276"/>
      <c r="W29" s="276"/>
      <c r="X29" s="279"/>
      <c r="Y29" s="276"/>
      <c r="Z29" s="276"/>
      <c r="AA29" s="276"/>
      <c r="AB29" s="197"/>
      <c r="AC29" s="454"/>
    </row>
    <row r="30" spans="1:29" s="7" customFormat="1" ht="33.75" customHeight="1">
      <c r="A30" s="455">
        <v>11</v>
      </c>
      <c r="B30" s="481"/>
      <c r="C30" s="13"/>
      <c r="D30" s="273" t="s">
        <v>177</v>
      </c>
      <c r="E30" s="216"/>
      <c r="F30" s="217"/>
      <c r="G30" s="217"/>
      <c r="H30" s="218"/>
      <c r="I30" s="218"/>
      <c r="J30" s="218"/>
      <c r="K30" s="218"/>
      <c r="L30" s="218"/>
      <c r="M30" s="218"/>
      <c r="N30" s="218"/>
      <c r="O30" s="218"/>
      <c r="P30" s="218"/>
      <c r="Q30" s="218"/>
      <c r="R30" s="218"/>
      <c r="S30" s="218"/>
      <c r="T30" s="218"/>
      <c r="U30" s="218"/>
      <c r="V30" s="218"/>
      <c r="W30" s="218"/>
      <c r="X30" s="221"/>
      <c r="Y30" s="218"/>
      <c r="Z30" s="218"/>
      <c r="AA30" s="218"/>
      <c r="AB30" s="196"/>
      <c r="AC30" s="453">
        <f t="shared" ref="AC30" si="7">SUM($E31:$G31)-SUM($I31:$AA31)+$AC28</f>
        <v>0</v>
      </c>
    </row>
    <row r="31" spans="1:29" s="7" customFormat="1" ht="33.75" customHeight="1" thickBot="1">
      <c r="A31" s="456"/>
      <c r="B31" s="482"/>
      <c r="C31" s="15"/>
      <c r="D31" s="274" t="s">
        <v>105</v>
      </c>
      <c r="E31" s="277"/>
      <c r="F31" s="278"/>
      <c r="G31" s="278"/>
      <c r="H31" s="276"/>
      <c r="I31" s="276"/>
      <c r="J31" s="276"/>
      <c r="K31" s="276"/>
      <c r="L31" s="276"/>
      <c r="M31" s="276"/>
      <c r="N31" s="276"/>
      <c r="O31" s="276"/>
      <c r="P31" s="276"/>
      <c r="Q31" s="276"/>
      <c r="R31" s="276"/>
      <c r="S31" s="276"/>
      <c r="T31" s="276"/>
      <c r="U31" s="276"/>
      <c r="V31" s="276"/>
      <c r="W31" s="276"/>
      <c r="X31" s="279"/>
      <c r="Y31" s="276"/>
      <c r="Z31" s="276"/>
      <c r="AA31" s="276"/>
      <c r="AB31" s="197"/>
      <c r="AC31" s="454"/>
    </row>
    <row r="32" spans="1:29" s="7" customFormat="1" ht="33.75" customHeight="1">
      <c r="A32" s="464">
        <v>12</v>
      </c>
      <c r="B32" s="481"/>
      <c r="C32" s="13"/>
      <c r="D32" s="273" t="s">
        <v>177</v>
      </c>
      <c r="E32" s="216"/>
      <c r="F32" s="217"/>
      <c r="G32" s="217"/>
      <c r="H32" s="218"/>
      <c r="I32" s="218"/>
      <c r="J32" s="218"/>
      <c r="K32" s="218"/>
      <c r="L32" s="218"/>
      <c r="M32" s="218"/>
      <c r="N32" s="218"/>
      <c r="O32" s="218"/>
      <c r="P32" s="218"/>
      <c r="Q32" s="218"/>
      <c r="R32" s="218"/>
      <c r="S32" s="218"/>
      <c r="T32" s="218"/>
      <c r="U32" s="218"/>
      <c r="V32" s="218"/>
      <c r="W32" s="218"/>
      <c r="X32" s="221"/>
      <c r="Y32" s="218"/>
      <c r="Z32" s="218"/>
      <c r="AA32" s="218"/>
      <c r="AB32" s="196"/>
      <c r="AC32" s="453">
        <f t="shared" ref="AC32" si="8">SUM($E33:$G33)-SUM($I33:$AA33)+$AC30</f>
        <v>0</v>
      </c>
    </row>
    <row r="33" spans="1:29" s="7" customFormat="1" ht="33.75" customHeight="1" thickBot="1">
      <c r="A33" s="450"/>
      <c r="B33" s="482"/>
      <c r="C33" s="15"/>
      <c r="D33" s="274" t="s">
        <v>105</v>
      </c>
      <c r="E33" s="277"/>
      <c r="F33" s="278"/>
      <c r="G33" s="278"/>
      <c r="H33" s="276"/>
      <c r="I33" s="276"/>
      <c r="J33" s="276"/>
      <c r="K33" s="276"/>
      <c r="L33" s="276"/>
      <c r="M33" s="276"/>
      <c r="N33" s="276"/>
      <c r="O33" s="276"/>
      <c r="P33" s="276"/>
      <c r="Q33" s="276"/>
      <c r="R33" s="276"/>
      <c r="S33" s="276"/>
      <c r="T33" s="276"/>
      <c r="U33" s="276"/>
      <c r="V33" s="276"/>
      <c r="W33" s="276"/>
      <c r="X33" s="279"/>
      <c r="Y33" s="276"/>
      <c r="Z33" s="276"/>
      <c r="AA33" s="276"/>
      <c r="AB33" s="197"/>
      <c r="AC33" s="454"/>
    </row>
    <row r="34" spans="1:29" s="7" customFormat="1" ht="33.75" customHeight="1">
      <c r="A34" s="455">
        <v>13</v>
      </c>
      <c r="B34" s="481"/>
      <c r="C34" s="13"/>
      <c r="D34" s="273" t="s">
        <v>177</v>
      </c>
      <c r="E34" s="216"/>
      <c r="F34" s="217"/>
      <c r="G34" s="217"/>
      <c r="H34" s="218"/>
      <c r="I34" s="218"/>
      <c r="J34" s="218"/>
      <c r="K34" s="218"/>
      <c r="L34" s="218"/>
      <c r="M34" s="218"/>
      <c r="N34" s="218"/>
      <c r="O34" s="218"/>
      <c r="P34" s="218"/>
      <c r="Q34" s="218"/>
      <c r="R34" s="218"/>
      <c r="S34" s="218"/>
      <c r="T34" s="218"/>
      <c r="U34" s="218"/>
      <c r="V34" s="218"/>
      <c r="W34" s="218"/>
      <c r="X34" s="221"/>
      <c r="Y34" s="218"/>
      <c r="Z34" s="218"/>
      <c r="AA34" s="218"/>
      <c r="AB34" s="196"/>
      <c r="AC34" s="453">
        <f>SUM($E35:$G35)-SUM($I35:$AA35)+$AC32</f>
        <v>0</v>
      </c>
    </row>
    <row r="35" spans="1:29" s="7" customFormat="1" ht="33.75" customHeight="1" thickBot="1">
      <c r="A35" s="456"/>
      <c r="B35" s="482"/>
      <c r="C35" s="15"/>
      <c r="D35" s="274" t="s">
        <v>105</v>
      </c>
      <c r="E35" s="277"/>
      <c r="F35" s="278"/>
      <c r="G35" s="278"/>
      <c r="H35" s="276"/>
      <c r="I35" s="276"/>
      <c r="J35" s="276"/>
      <c r="K35" s="276"/>
      <c r="L35" s="276"/>
      <c r="M35" s="276"/>
      <c r="N35" s="276"/>
      <c r="O35" s="276"/>
      <c r="P35" s="276"/>
      <c r="Q35" s="276"/>
      <c r="R35" s="276"/>
      <c r="S35" s="276"/>
      <c r="T35" s="276"/>
      <c r="U35" s="276"/>
      <c r="V35" s="276"/>
      <c r="W35" s="276"/>
      <c r="X35" s="279"/>
      <c r="Y35" s="276"/>
      <c r="Z35" s="276"/>
      <c r="AA35" s="276"/>
      <c r="AB35" s="197"/>
      <c r="AC35" s="454"/>
    </row>
    <row r="36" spans="1:29" s="7" customFormat="1" ht="33.75" customHeight="1">
      <c r="A36" s="464">
        <v>14</v>
      </c>
      <c r="B36" s="481"/>
      <c r="C36" s="13"/>
      <c r="D36" s="273" t="s">
        <v>177</v>
      </c>
      <c r="E36" s="216"/>
      <c r="F36" s="217"/>
      <c r="G36" s="217"/>
      <c r="H36" s="218"/>
      <c r="I36" s="218"/>
      <c r="J36" s="218"/>
      <c r="K36" s="218"/>
      <c r="L36" s="218"/>
      <c r="M36" s="218"/>
      <c r="N36" s="218"/>
      <c r="O36" s="218"/>
      <c r="P36" s="218"/>
      <c r="Q36" s="218"/>
      <c r="R36" s="218"/>
      <c r="S36" s="218"/>
      <c r="T36" s="218"/>
      <c r="U36" s="218"/>
      <c r="V36" s="218"/>
      <c r="W36" s="218"/>
      <c r="X36" s="221"/>
      <c r="Y36" s="218"/>
      <c r="Z36" s="218"/>
      <c r="AA36" s="218"/>
      <c r="AB36" s="196"/>
      <c r="AC36" s="453">
        <f t="shared" ref="AC36" si="9">SUM($E37:$G37)-SUM($I37:$AA37)+$AC34</f>
        <v>0</v>
      </c>
    </row>
    <row r="37" spans="1:29" s="7" customFormat="1" ht="33.75" customHeight="1" thickBot="1">
      <c r="A37" s="449"/>
      <c r="B37" s="483"/>
      <c r="C37" s="15"/>
      <c r="D37" s="199" t="s">
        <v>105</v>
      </c>
      <c r="E37" s="280"/>
      <c r="F37" s="281"/>
      <c r="G37" s="281"/>
      <c r="H37" s="282"/>
      <c r="I37" s="282"/>
      <c r="J37" s="282"/>
      <c r="K37" s="282"/>
      <c r="L37" s="282"/>
      <c r="M37" s="282"/>
      <c r="N37" s="282"/>
      <c r="O37" s="282"/>
      <c r="P37" s="282"/>
      <c r="Q37" s="282"/>
      <c r="R37" s="282"/>
      <c r="S37" s="282"/>
      <c r="T37" s="282"/>
      <c r="U37" s="282"/>
      <c r="V37" s="282"/>
      <c r="W37" s="282"/>
      <c r="X37" s="283"/>
      <c r="Y37" s="282"/>
      <c r="Z37" s="282"/>
      <c r="AA37" s="282"/>
      <c r="AB37" s="194"/>
      <c r="AC37" s="465"/>
    </row>
    <row r="38" spans="1:29" s="7" customFormat="1" ht="33.75" customHeight="1">
      <c r="A38" s="455">
        <v>15</v>
      </c>
      <c r="B38" s="479"/>
      <c r="C38" s="13"/>
      <c r="D38" s="273" t="s">
        <v>177</v>
      </c>
      <c r="E38" s="216"/>
      <c r="F38" s="217"/>
      <c r="G38" s="217"/>
      <c r="H38" s="218"/>
      <c r="I38" s="218"/>
      <c r="J38" s="218"/>
      <c r="K38" s="218"/>
      <c r="L38" s="218"/>
      <c r="M38" s="218"/>
      <c r="N38" s="218"/>
      <c r="O38" s="218"/>
      <c r="P38" s="218"/>
      <c r="Q38" s="218"/>
      <c r="R38" s="218"/>
      <c r="S38" s="218"/>
      <c r="T38" s="218"/>
      <c r="U38" s="218"/>
      <c r="V38" s="218"/>
      <c r="W38" s="218"/>
      <c r="X38" s="221"/>
      <c r="Y38" s="218"/>
      <c r="Z38" s="218"/>
      <c r="AA38" s="218"/>
      <c r="AB38" s="190"/>
      <c r="AC38" s="453">
        <f t="shared" ref="AC38" si="10">SUM($E39:$G39)-SUM($I39:$AA39)+$AC36</f>
        <v>0</v>
      </c>
    </row>
    <row r="39" spans="1:29" s="7" customFormat="1" ht="33.75" customHeight="1" thickBot="1">
      <c r="A39" s="459"/>
      <c r="B39" s="480"/>
      <c r="C39" s="15"/>
      <c r="D39" s="274" t="s">
        <v>105</v>
      </c>
      <c r="E39" s="277"/>
      <c r="F39" s="278"/>
      <c r="G39" s="278"/>
      <c r="H39" s="276"/>
      <c r="I39" s="276"/>
      <c r="J39" s="276"/>
      <c r="K39" s="276"/>
      <c r="L39" s="276"/>
      <c r="M39" s="276"/>
      <c r="N39" s="276"/>
      <c r="O39" s="276"/>
      <c r="P39" s="276"/>
      <c r="Q39" s="276"/>
      <c r="R39" s="276"/>
      <c r="S39" s="276"/>
      <c r="T39" s="276"/>
      <c r="U39" s="276"/>
      <c r="V39" s="276"/>
      <c r="W39" s="276"/>
      <c r="X39" s="279"/>
      <c r="Y39" s="276"/>
      <c r="Z39" s="276"/>
      <c r="AA39" s="276"/>
      <c r="AB39" s="191"/>
      <c r="AC39" s="454"/>
    </row>
    <row r="40" spans="1:29" s="7" customFormat="1" ht="33.75" customHeight="1">
      <c r="A40" s="466">
        <v>16</v>
      </c>
      <c r="B40" s="479"/>
      <c r="C40" s="13"/>
      <c r="D40" s="273" t="s">
        <v>177</v>
      </c>
      <c r="E40" s="216"/>
      <c r="F40" s="217"/>
      <c r="G40" s="217"/>
      <c r="H40" s="218"/>
      <c r="I40" s="218"/>
      <c r="J40" s="218"/>
      <c r="K40" s="218"/>
      <c r="L40" s="218"/>
      <c r="M40" s="218"/>
      <c r="N40" s="218"/>
      <c r="O40" s="218"/>
      <c r="P40" s="218"/>
      <c r="Q40" s="218"/>
      <c r="R40" s="218"/>
      <c r="S40" s="218"/>
      <c r="T40" s="218"/>
      <c r="U40" s="218"/>
      <c r="V40" s="218"/>
      <c r="W40" s="218"/>
      <c r="X40" s="221"/>
      <c r="Y40" s="218"/>
      <c r="Z40" s="218"/>
      <c r="AA40" s="218"/>
      <c r="AB40" s="190"/>
      <c r="AC40" s="453">
        <f t="shared" ref="AC40" si="11">SUM($E41:$G41)-SUM($I41:$AA41)+$AC38</f>
        <v>0</v>
      </c>
    </row>
    <row r="41" spans="1:29" s="7" customFormat="1" ht="33.75" customHeight="1" thickBot="1">
      <c r="A41" s="467"/>
      <c r="B41" s="480"/>
      <c r="C41" s="15"/>
      <c r="D41" s="274" t="s">
        <v>105</v>
      </c>
      <c r="E41" s="277"/>
      <c r="F41" s="278"/>
      <c r="G41" s="278"/>
      <c r="H41" s="276"/>
      <c r="I41" s="276"/>
      <c r="J41" s="276"/>
      <c r="K41" s="276"/>
      <c r="L41" s="276"/>
      <c r="M41" s="276"/>
      <c r="N41" s="276"/>
      <c r="O41" s="276"/>
      <c r="P41" s="276"/>
      <c r="Q41" s="276"/>
      <c r="R41" s="276"/>
      <c r="S41" s="276"/>
      <c r="T41" s="276"/>
      <c r="U41" s="276"/>
      <c r="V41" s="276"/>
      <c r="W41" s="276"/>
      <c r="X41" s="279"/>
      <c r="Y41" s="276"/>
      <c r="Z41" s="276"/>
      <c r="AA41" s="276"/>
      <c r="AB41" s="191"/>
      <c r="AC41" s="454"/>
    </row>
    <row r="42" spans="1:29" s="7" customFormat="1" ht="33.75" customHeight="1">
      <c r="A42" s="468">
        <v>17</v>
      </c>
      <c r="B42" s="483"/>
      <c r="C42" s="13"/>
      <c r="D42" s="275" t="s">
        <v>177</v>
      </c>
      <c r="E42" s="222"/>
      <c r="F42" s="223"/>
      <c r="G42" s="223"/>
      <c r="H42" s="224"/>
      <c r="I42" s="224"/>
      <c r="J42" s="224"/>
      <c r="K42" s="224"/>
      <c r="L42" s="224"/>
      <c r="M42" s="224"/>
      <c r="N42" s="224"/>
      <c r="O42" s="224"/>
      <c r="P42" s="224"/>
      <c r="Q42" s="224"/>
      <c r="R42" s="224"/>
      <c r="S42" s="224"/>
      <c r="T42" s="224"/>
      <c r="U42" s="224"/>
      <c r="V42" s="224"/>
      <c r="W42" s="224"/>
      <c r="X42" s="224"/>
      <c r="Y42" s="224"/>
      <c r="Z42" s="224"/>
      <c r="AA42" s="224"/>
      <c r="AB42" s="195"/>
      <c r="AC42" s="453">
        <f t="shared" ref="AC42" si="12">SUM($E43:$G43)-SUM($I43:$AA43)+$AC40</f>
        <v>0</v>
      </c>
    </row>
    <row r="43" spans="1:29" s="7" customFormat="1" ht="33.75" customHeight="1" thickBot="1">
      <c r="A43" s="459"/>
      <c r="B43" s="482"/>
      <c r="C43" s="15"/>
      <c r="D43" s="274" t="s">
        <v>105</v>
      </c>
      <c r="E43" s="277"/>
      <c r="F43" s="278"/>
      <c r="G43" s="278"/>
      <c r="H43" s="276"/>
      <c r="I43" s="276"/>
      <c r="J43" s="276"/>
      <c r="K43" s="276"/>
      <c r="L43" s="276"/>
      <c r="M43" s="276"/>
      <c r="N43" s="276"/>
      <c r="O43" s="276"/>
      <c r="P43" s="276"/>
      <c r="Q43" s="276"/>
      <c r="R43" s="276"/>
      <c r="S43" s="276"/>
      <c r="T43" s="276"/>
      <c r="U43" s="276"/>
      <c r="V43" s="276"/>
      <c r="W43" s="276"/>
      <c r="X43" s="276"/>
      <c r="Y43" s="276"/>
      <c r="Z43" s="276"/>
      <c r="AA43" s="276"/>
      <c r="AB43" s="197"/>
      <c r="AC43" s="454"/>
    </row>
    <row r="44" spans="1:29" s="7" customFormat="1" ht="33.75" customHeight="1">
      <c r="A44" s="455">
        <v>18</v>
      </c>
      <c r="B44" s="481"/>
      <c r="C44" s="13"/>
      <c r="D44" s="273" t="s">
        <v>177</v>
      </c>
      <c r="E44" s="216"/>
      <c r="F44" s="217"/>
      <c r="G44" s="217"/>
      <c r="H44" s="218"/>
      <c r="I44" s="218"/>
      <c r="J44" s="218"/>
      <c r="K44" s="218"/>
      <c r="L44" s="218"/>
      <c r="M44" s="218"/>
      <c r="N44" s="218"/>
      <c r="O44" s="218"/>
      <c r="P44" s="218"/>
      <c r="Q44" s="218"/>
      <c r="R44" s="218"/>
      <c r="S44" s="218"/>
      <c r="T44" s="218"/>
      <c r="U44" s="218"/>
      <c r="V44" s="218"/>
      <c r="W44" s="218"/>
      <c r="X44" s="218"/>
      <c r="Y44" s="218"/>
      <c r="Z44" s="218"/>
      <c r="AA44" s="218"/>
      <c r="AB44" s="196"/>
      <c r="AC44" s="453">
        <f t="shared" ref="AC44" si="13">SUM($E45:$G45)-SUM($I45:$AA45)+$AC42</f>
        <v>0</v>
      </c>
    </row>
    <row r="45" spans="1:29" s="7" customFormat="1" ht="33.75" customHeight="1" thickBot="1">
      <c r="A45" s="459"/>
      <c r="B45" s="482"/>
      <c r="C45" s="15"/>
      <c r="D45" s="274" t="s">
        <v>105</v>
      </c>
      <c r="E45" s="277"/>
      <c r="F45" s="278"/>
      <c r="G45" s="278"/>
      <c r="H45" s="276"/>
      <c r="I45" s="276"/>
      <c r="J45" s="276"/>
      <c r="K45" s="276"/>
      <c r="L45" s="276"/>
      <c r="M45" s="276"/>
      <c r="N45" s="276"/>
      <c r="O45" s="276"/>
      <c r="P45" s="276"/>
      <c r="Q45" s="276"/>
      <c r="R45" s="276"/>
      <c r="S45" s="276"/>
      <c r="T45" s="276"/>
      <c r="U45" s="276"/>
      <c r="V45" s="276"/>
      <c r="W45" s="276"/>
      <c r="X45" s="276"/>
      <c r="Y45" s="276"/>
      <c r="Z45" s="276"/>
      <c r="AA45" s="276"/>
      <c r="AB45" s="197"/>
      <c r="AC45" s="454"/>
    </row>
    <row r="46" spans="1:29" s="7" customFormat="1" ht="33.75" customHeight="1">
      <c r="A46" s="455">
        <v>19</v>
      </c>
      <c r="B46" s="481"/>
      <c r="C46" s="13"/>
      <c r="D46" s="273" t="s">
        <v>177</v>
      </c>
      <c r="E46" s="216"/>
      <c r="F46" s="217"/>
      <c r="G46" s="217"/>
      <c r="H46" s="218"/>
      <c r="I46" s="218"/>
      <c r="J46" s="218"/>
      <c r="K46" s="218"/>
      <c r="L46" s="218"/>
      <c r="M46" s="218"/>
      <c r="N46" s="218"/>
      <c r="O46" s="218"/>
      <c r="P46" s="218"/>
      <c r="Q46" s="218"/>
      <c r="R46" s="218"/>
      <c r="S46" s="218"/>
      <c r="T46" s="218"/>
      <c r="U46" s="218"/>
      <c r="V46" s="218"/>
      <c r="W46" s="218"/>
      <c r="X46" s="218"/>
      <c r="Y46" s="218"/>
      <c r="Z46" s="218"/>
      <c r="AA46" s="218"/>
      <c r="AB46" s="196"/>
      <c r="AC46" s="453">
        <f t="shared" ref="AC46" si="14">SUM($E47:$G47)-SUM($I47:$AA47)+$AC44</f>
        <v>0</v>
      </c>
    </row>
    <row r="47" spans="1:29" s="7" customFormat="1" ht="33.75" customHeight="1" thickBot="1">
      <c r="A47" s="459"/>
      <c r="B47" s="482"/>
      <c r="C47" s="15"/>
      <c r="D47" s="274" t="s">
        <v>105</v>
      </c>
      <c r="E47" s="277"/>
      <c r="F47" s="278"/>
      <c r="G47" s="278"/>
      <c r="H47" s="276"/>
      <c r="I47" s="276"/>
      <c r="J47" s="276"/>
      <c r="K47" s="276"/>
      <c r="L47" s="276"/>
      <c r="M47" s="276"/>
      <c r="N47" s="276"/>
      <c r="O47" s="276"/>
      <c r="P47" s="276"/>
      <c r="Q47" s="276"/>
      <c r="R47" s="276"/>
      <c r="S47" s="276"/>
      <c r="T47" s="276"/>
      <c r="U47" s="276"/>
      <c r="V47" s="276"/>
      <c r="W47" s="276"/>
      <c r="X47" s="276"/>
      <c r="Y47" s="276"/>
      <c r="Z47" s="276"/>
      <c r="AA47" s="276"/>
      <c r="AB47" s="197"/>
      <c r="AC47" s="454"/>
    </row>
    <row r="48" spans="1:29" s="7" customFormat="1" ht="33.75" customHeight="1">
      <c r="A48" s="455">
        <v>20</v>
      </c>
      <c r="B48" s="481"/>
      <c r="C48" s="13"/>
      <c r="D48" s="273" t="s">
        <v>177</v>
      </c>
      <c r="E48" s="216"/>
      <c r="F48" s="217"/>
      <c r="G48" s="217"/>
      <c r="H48" s="218"/>
      <c r="I48" s="218"/>
      <c r="J48" s="218"/>
      <c r="K48" s="218"/>
      <c r="L48" s="218"/>
      <c r="M48" s="218"/>
      <c r="N48" s="218"/>
      <c r="O48" s="218"/>
      <c r="P48" s="218"/>
      <c r="Q48" s="218"/>
      <c r="R48" s="218"/>
      <c r="S48" s="218"/>
      <c r="T48" s="218"/>
      <c r="U48" s="218"/>
      <c r="V48" s="218"/>
      <c r="W48" s="218"/>
      <c r="X48" s="218"/>
      <c r="Y48" s="218"/>
      <c r="Z48" s="218"/>
      <c r="AA48" s="218"/>
      <c r="AB48" s="196"/>
      <c r="AC48" s="453">
        <f t="shared" ref="AC48" si="15">SUM($E49:$G49)-SUM($I49:$AA49)+$AC46</f>
        <v>0</v>
      </c>
    </row>
    <row r="49" spans="1:29" s="7" customFormat="1" ht="33.75" customHeight="1" thickBot="1">
      <c r="A49" s="459"/>
      <c r="B49" s="482"/>
      <c r="C49" s="15"/>
      <c r="D49" s="274" t="s">
        <v>105</v>
      </c>
      <c r="E49" s="277"/>
      <c r="F49" s="278"/>
      <c r="G49" s="278"/>
      <c r="H49" s="276"/>
      <c r="I49" s="276"/>
      <c r="J49" s="276"/>
      <c r="K49" s="276"/>
      <c r="L49" s="276"/>
      <c r="M49" s="276"/>
      <c r="N49" s="276"/>
      <c r="O49" s="276"/>
      <c r="P49" s="276"/>
      <c r="Q49" s="276"/>
      <c r="R49" s="276"/>
      <c r="S49" s="276"/>
      <c r="T49" s="276"/>
      <c r="U49" s="276"/>
      <c r="V49" s="276"/>
      <c r="W49" s="276"/>
      <c r="X49" s="276"/>
      <c r="Y49" s="276"/>
      <c r="Z49" s="276"/>
      <c r="AA49" s="276"/>
      <c r="AB49" s="197"/>
      <c r="AC49" s="454"/>
    </row>
    <row r="50" spans="1:29" s="7" customFormat="1" ht="33.75" customHeight="1">
      <c r="A50" s="455">
        <v>21</v>
      </c>
      <c r="B50" s="481"/>
      <c r="C50" s="13"/>
      <c r="D50" s="273" t="s">
        <v>177</v>
      </c>
      <c r="E50" s="216"/>
      <c r="F50" s="217"/>
      <c r="G50" s="217"/>
      <c r="H50" s="218"/>
      <c r="I50" s="218"/>
      <c r="J50" s="218"/>
      <c r="K50" s="218"/>
      <c r="L50" s="218"/>
      <c r="M50" s="218"/>
      <c r="N50" s="218"/>
      <c r="O50" s="218"/>
      <c r="P50" s="218"/>
      <c r="Q50" s="218"/>
      <c r="R50" s="218"/>
      <c r="S50" s="218"/>
      <c r="T50" s="218"/>
      <c r="U50" s="218"/>
      <c r="V50" s="218"/>
      <c r="W50" s="218"/>
      <c r="X50" s="218"/>
      <c r="Y50" s="218"/>
      <c r="Z50" s="218"/>
      <c r="AA50" s="218"/>
      <c r="AB50" s="196"/>
      <c r="AC50" s="453">
        <f t="shared" ref="AC50" si="16">SUM($E51:$G51)-SUM($I51:$AA51)+$AC48</f>
        <v>0</v>
      </c>
    </row>
    <row r="51" spans="1:29" s="7" customFormat="1" ht="33.75" customHeight="1" thickBot="1">
      <c r="A51" s="459"/>
      <c r="B51" s="482"/>
      <c r="C51" s="15"/>
      <c r="D51" s="274" t="s">
        <v>105</v>
      </c>
      <c r="E51" s="277"/>
      <c r="F51" s="278"/>
      <c r="G51" s="278"/>
      <c r="H51" s="276"/>
      <c r="I51" s="276"/>
      <c r="J51" s="276"/>
      <c r="K51" s="276"/>
      <c r="L51" s="276"/>
      <c r="M51" s="276"/>
      <c r="N51" s="276"/>
      <c r="O51" s="276"/>
      <c r="P51" s="276"/>
      <c r="Q51" s="276"/>
      <c r="R51" s="276"/>
      <c r="S51" s="276"/>
      <c r="T51" s="276"/>
      <c r="U51" s="276"/>
      <c r="V51" s="276"/>
      <c r="W51" s="276"/>
      <c r="X51" s="276"/>
      <c r="Y51" s="276"/>
      <c r="Z51" s="276"/>
      <c r="AA51" s="276"/>
      <c r="AB51" s="197"/>
      <c r="AC51" s="454"/>
    </row>
    <row r="52" spans="1:29" s="7" customFormat="1" ht="33.75" customHeight="1">
      <c r="A52" s="455">
        <v>22</v>
      </c>
      <c r="B52" s="481"/>
      <c r="C52" s="13"/>
      <c r="D52" s="273" t="s">
        <v>177</v>
      </c>
      <c r="E52" s="216"/>
      <c r="F52" s="217"/>
      <c r="G52" s="217"/>
      <c r="H52" s="218"/>
      <c r="I52" s="218"/>
      <c r="J52" s="218"/>
      <c r="K52" s="218"/>
      <c r="L52" s="218"/>
      <c r="M52" s="218"/>
      <c r="N52" s="218"/>
      <c r="O52" s="218"/>
      <c r="P52" s="218"/>
      <c r="Q52" s="218"/>
      <c r="R52" s="218"/>
      <c r="S52" s="218"/>
      <c r="T52" s="218"/>
      <c r="U52" s="218"/>
      <c r="V52" s="218"/>
      <c r="W52" s="218"/>
      <c r="X52" s="218"/>
      <c r="Y52" s="218"/>
      <c r="Z52" s="218"/>
      <c r="AA52" s="218"/>
      <c r="AB52" s="196"/>
      <c r="AC52" s="453">
        <f t="shared" ref="AC52" si="17">SUM($E53:$G53)-SUM($I53:$AA53)+$AC50</f>
        <v>0</v>
      </c>
    </row>
    <row r="53" spans="1:29" s="7" customFormat="1" ht="33.75" customHeight="1" thickBot="1">
      <c r="A53" s="459"/>
      <c r="B53" s="482"/>
      <c r="C53" s="15"/>
      <c r="D53" s="274" t="s">
        <v>105</v>
      </c>
      <c r="E53" s="277"/>
      <c r="F53" s="278"/>
      <c r="G53" s="278"/>
      <c r="H53" s="276"/>
      <c r="I53" s="276"/>
      <c r="J53" s="276"/>
      <c r="K53" s="276"/>
      <c r="L53" s="276"/>
      <c r="M53" s="276"/>
      <c r="N53" s="276"/>
      <c r="O53" s="276"/>
      <c r="P53" s="276"/>
      <c r="Q53" s="276"/>
      <c r="R53" s="276"/>
      <c r="S53" s="276"/>
      <c r="T53" s="276"/>
      <c r="U53" s="276"/>
      <c r="V53" s="276"/>
      <c r="W53" s="276"/>
      <c r="X53" s="276"/>
      <c r="Y53" s="276"/>
      <c r="Z53" s="276"/>
      <c r="AA53" s="276"/>
      <c r="AB53" s="197"/>
      <c r="AC53" s="454"/>
    </row>
    <row r="54" spans="1:29" s="7" customFormat="1" ht="33.75" customHeight="1">
      <c r="A54" s="455">
        <v>23</v>
      </c>
      <c r="B54" s="481"/>
      <c r="C54" s="13"/>
      <c r="D54" s="273" t="s">
        <v>177</v>
      </c>
      <c r="E54" s="216"/>
      <c r="F54" s="217"/>
      <c r="G54" s="217"/>
      <c r="H54" s="218"/>
      <c r="I54" s="218"/>
      <c r="J54" s="218"/>
      <c r="K54" s="218"/>
      <c r="L54" s="218"/>
      <c r="M54" s="218"/>
      <c r="N54" s="218"/>
      <c r="O54" s="218"/>
      <c r="P54" s="218"/>
      <c r="Q54" s="218"/>
      <c r="R54" s="218"/>
      <c r="S54" s="218"/>
      <c r="T54" s="218"/>
      <c r="U54" s="218"/>
      <c r="V54" s="218"/>
      <c r="W54" s="218"/>
      <c r="X54" s="218"/>
      <c r="Y54" s="218"/>
      <c r="Z54" s="218"/>
      <c r="AA54" s="218"/>
      <c r="AB54" s="196"/>
      <c r="AC54" s="453">
        <f t="shared" ref="AC54" si="18">SUM($E55:$G55)-SUM($I55:$AA55)+$AC52</f>
        <v>0</v>
      </c>
    </row>
    <row r="55" spans="1:29" s="7" customFormat="1" ht="33.75" customHeight="1" thickBot="1">
      <c r="A55" s="459"/>
      <c r="B55" s="482"/>
      <c r="C55" s="15"/>
      <c r="D55" s="274" t="s">
        <v>105</v>
      </c>
      <c r="E55" s="277"/>
      <c r="F55" s="278"/>
      <c r="G55" s="278"/>
      <c r="H55" s="276"/>
      <c r="I55" s="276"/>
      <c r="J55" s="276"/>
      <c r="K55" s="276"/>
      <c r="L55" s="276"/>
      <c r="M55" s="276"/>
      <c r="N55" s="276"/>
      <c r="O55" s="276"/>
      <c r="P55" s="276"/>
      <c r="Q55" s="276"/>
      <c r="R55" s="276"/>
      <c r="S55" s="276"/>
      <c r="T55" s="276"/>
      <c r="U55" s="276"/>
      <c r="V55" s="276"/>
      <c r="W55" s="276"/>
      <c r="X55" s="276"/>
      <c r="Y55" s="276"/>
      <c r="Z55" s="276"/>
      <c r="AA55" s="276"/>
      <c r="AB55" s="197"/>
      <c r="AC55" s="454"/>
    </row>
    <row r="56" spans="1:29" s="7" customFormat="1" ht="33.75" customHeight="1">
      <c r="A56" s="455">
        <v>24</v>
      </c>
      <c r="B56" s="481"/>
      <c r="C56" s="13"/>
      <c r="D56" s="273" t="s">
        <v>177</v>
      </c>
      <c r="E56" s="216"/>
      <c r="F56" s="217"/>
      <c r="G56" s="217"/>
      <c r="H56" s="218"/>
      <c r="I56" s="218"/>
      <c r="J56" s="218"/>
      <c r="K56" s="218"/>
      <c r="L56" s="218"/>
      <c r="M56" s="218"/>
      <c r="N56" s="218"/>
      <c r="O56" s="218"/>
      <c r="P56" s="218"/>
      <c r="Q56" s="218"/>
      <c r="R56" s="218"/>
      <c r="S56" s="218"/>
      <c r="T56" s="218"/>
      <c r="U56" s="218"/>
      <c r="V56" s="218"/>
      <c r="W56" s="218"/>
      <c r="X56" s="218"/>
      <c r="Y56" s="218"/>
      <c r="Z56" s="218"/>
      <c r="AA56" s="218"/>
      <c r="AB56" s="196"/>
      <c r="AC56" s="453">
        <f t="shared" ref="AC56" si="19">SUM($E57:$G57)-SUM($I57:$AA57)+$AC54</f>
        <v>0</v>
      </c>
    </row>
    <row r="57" spans="1:29" s="7" customFormat="1" ht="33.75" customHeight="1" thickBot="1">
      <c r="A57" s="459"/>
      <c r="B57" s="482"/>
      <c r="C57" s="15"/>
      <c r="D57" s="274" t="s">
        <v>105</v>
      </c>
      <c r="E57" s="277"/>
      <c r="F57" s="278"/>
      <c r="G57" s="278"/>
      <c r="H57" s="276"/>
      <c r="I57" s="276"/>
      <c r="J57" s="276"/>
      <c r="K57" s="276"/>
      <c r="L57" s="276"/>
      <c r="M57" s="276"/>
      <c r="N57" s="276"/>
      <c r="O57" s="276"/>
      <c r="P57" s="276"/>
      <c r="Q57" s="276"/>
      <c r="R57" s="276"/>
      <c r="S57" s="276"/>
      <c r="T57" s="276"/>
      <c r="U57" s="276"/>
      <c r="V57" s="276"/>
      <c r="W57" s="276"/>
      <c r="X57" s="276"/>
      <c r="Y57" s="276"/>
      <c r="Z57" s="276"/>
      <c r="AA57" s="276"/>
      <c r="AB57" s="197"/>
      <c r="AC57" s="454"/>
    </row>
    <row r="58" spans="1:29" s="7" customFormat="1" ht="33.75" customHeight="1">
      <c r="A58" s="455">
        <v>25</v>
      </c>
      <c r="B58" s="481"/>
      <c r="C58" s="13"/>
      <c r="D58" s="273" t="s">
        <v>177</v>
      </c>
      <c r="E58" s="216"/>
      <c r="F58" s="217"/>
      <c r="G58" s="217"/>
      <c r="H58" s="218"/>
      <c r="I58" s="218"/>
      <c r="J58" s="218"/>
      <c r="K58" s="218"/>
      <c r="L58" s="218"/>
      <c r="M58" s="218"/>
      <c r="N58" s="218"/>
      <c r="O58" s="218"/>
      <c r="P58" s="218"/>
      <c r="Q58" s="218"/>
      <c r="R58" s="218"/>
      <c r="S58" s="218"/>
      <c r="T58" s="218"/>
      <c r="U58" s="218"/>
      <c r="V58" s="218"/>
      <c r="W58" s="218"/>
      <c r="X58" s="218"/>
      <c r="Y58" s="218"/>
      <c r="Z58" s="218"/>
      <c r="AA58" s="218"/>
      <c r="AB58" s="196"/>
      <c r="AC58" s="453">
        <f t="shared" ref="AC58" si="20">SUM($E59:$G59)-SUM($I59:$AA59)+$AC56</f>
        <v>0</v>
      </c>
    </row>
    <row r="59" spans="1:29" s="7" customFormat="1" ht="33.75" customHeight="1" thickBot="1">
      <c r="A59" s="459"/>
      <c r="B59" s="482"/>
      <c r="C59" s="15"/>
      <c r="D59" s="274" t="s">
        <v>105</v>
      </c>
      <c r="E59" s="277"/>
      <c r="F59" s="278"/>
      <c r="G59" s="278"/>
      <c r="H59" s="276"/>
      <c r="I59" s="276"/>
      <c r="J59" s="276"/>
      <c r="K59" s="276"/>
      <c r="L59" s="276"/>
      <c r="M59" s="276"/>
      <c r="N59" s="276"/>
      <c r="O59" s="276"/>
      <c r="P59" s="276"/>
      <c r="Q59" s="276"/>
      <c r="R59" s="276"/>
      <c r="S59" s="276"/>
      <c r="T59" s="276"/>
      <c r="U59" s="276"/>
      <c r="V59" s="276"/>
      <c r="W59" s="276"/>
      <c r="X59" s="276"/>
      <c r="Y59" s="276"/>
      <c r="Z59" s="276"/>
      <c r="AA59" s="276"/>
      <c r="AB59" s="197"/>
      <c r="AC59" s="454"/>
    </row>
    <row r="60" spans="1:29" s="7" customFormat="1" ht="33.75" customHeight="1">
      <c r="A60" s="455">
        <v>26</v>
      </c>
      <c r="B60" s="481"/>
      <c r="C60" s="13"/>
      <c r="D60" s="273" t="s">
        <v>177</v>
      </c>
      <c r="E60" s="216"/>
      <c r="F60" s="217"/>
      <c r="G60" s="217"/>
      <c r="H60" s="218"/>
      <c r="I60" s="218"/>
      <c r="J60" s="218"/>
      <c r="K60" s="218"/>
      <c r="L60" s="218"/>
      <c r="M60" s="218"/>
      <c r="N60" s="218"/>
      <c r="O60" s="218"/>
      <c r="P60" s="218"/>
      <c r="Q60" s="218"/>
      <c r="R60" s="218"/>
      <c r="S60" s="218"/>
      <c r="T60" s="218"/>
      <c r="U60" s="218"/>
      <c r="V60" s="218"/>
      <c r="W60" s="218"/>
      <c r="X60" s="218"/>
      <c r="Y60" s="218"/>
      <c r="Z60" s="218"/>
      <c r="AA60" s="218"/>
      <c r="AB60" s="196"/>
      <c r="AC60" s="453">
        <f t="shared" ref="AC60" si="21">SUM($E61:$G61)-SUM($I61:$AA61)+$AC58</f>
        <v>0</v>
      </c>
    </row>
    <row r="61" spans="1:29" s="7" customFormat="1" ht="33.75" customHeight="1" thickBot="1">
      <c r="A61" s="459"/>
      <c r="B61" s="482"/>
      <c r="C61" s="15"/>
      <c r="D61" s="274" t="s">
        <v>105</v>
      </c>
      <c r="E61" s="277"/>
      <c r="F61" s="278"/>
      <c r="G61" s="278"/>
      <c r="H61" s="220"/>
      <c r="I61" s="276"/>
      <c r="J61" s="276"/>
      <c r="K61" s="276"/>
      <c r="L61" s="276"/>
      <c r="M61" s="276"/>
      <c r="N61" s="276"/>
      <c r="O61" s="276"/>
      <c r="P61" s="276"/>
      <c r="Q61" s="276"/>
      <c r="R61" s="276"/>
      <c r="S61" s="276"/>
      <c r="T61" s="276"/>
      <c r="U61" s="276"/>
      <c r="V61" s="276"/>
      <c r="W61" s="276"/>
      <c r="X61" s="276"/>
      <c r="Y61" s="276"/>
      <c r="Z61" s="276"/>
      <c r="AA61" s="276"/>
      <c r="AB61" s="197"/>
      <c r="AC61" s="454"/>
    </row>
    <row r="62" spans="1:29" s="7" customFormat="1" ht="33.75" customHeight="1">
      <c r="A62" s="455">
        <v>27</v>
      </c>
      <c r="B62" s="481"/>
      <c r="C62" s="13"/>
      <c r="D62" s="273" t="s">
        <v>177</v>
      </c>
      <c r="E62" s="216"/>
      <c r="F62" s="217"/>
      <c r="G62" s="217"/>
      <c r="H62" s="218"/>
      <c r="I62" s="218"/>
      <c r="J62" s="218"/>
      <c r="K62" s="218"/>
      <c r="L62" s="218"/>
      <c r="M62" s="218"/>
      <c r="N62" s="218"/>
      <c r="O62" s="218"/>
      <c r="P62" s="218"/>
      <c r="Q62" s="218"/>
      <c r="R62" s="218"/>
      <c r="S62" s="218"/>
      <c r="T62" s="218"/>
      <c r="U62" s="218"/>
      <c r="V62" s="218"/>
      <c r="W62" s="218"/>
      <c r="X62" s="218"/>
      <c r="Y62" s="218"/>
      <c r="Z62" s="218"/>
      <c r="AA62" s="218"/>
      <c r="AB62" s="196"/>
      <c r="AC62" s="453">
        <f t="shared" ref="AC62" si="22">SUM($E63:$G63)-SUM($I63:$AA63)+$AC60</f>
        <v>0</v>
      </c>
    </row>
    <row r="63" spans="1:29" s="7" customFormat="1" ht="33.75" customHeight="1" thickBot="1">
      <c r="A63" s="459"/>
      <c r="B63" s="482"/>
      <c r="C63" s="15"/>
      <c r="D63" s="274" t="s">
        <v>105</v>
      </c>
      <c r="E63" s="277"/>
      <c r="F63" s="278"/>
      <c r="G63" s="278"/>
      <c r="H63" s="276"/>
      <c r="I63" s="276"/>
      <c r="J63" s="276"/>
      <c r="K63" s="276"/>
      <c r="L63" s="276"/>
      <c r="M63" s="276"/>
      <c r="N63" s="276"/>
      <c r="O63" s="276"/>
      <c r="P63" s="276"/>
      <c r="Q63" s="276"/>
      <c r="R63" s="276"/>
      <c r="S63" s="276"/>
      <c r="T63" s="276"/>
      <c r="U63" s="276"/>
      <c r="V63" s="276"/>
      <c r="W63" s="276"/>
      <c r="X63" s="276"/>
      <c r="Y63" s="276"/>
      <c r="Z63" s="276"/>
      <c r="AA63" s="276"/>
      <c r="AB63" s="197"/>
      <c r="AC63" s="454"/>
    </row>
    <row r="64" spans="1:29" s="7" customFormat="1" ht="33.75" customHeight="1">
      <c r="A64" s="455">
        <v>28</v>
      </c>
      <c r="B64" s="481"/>
      <c r="C64" s="13"/>
      <c r="D64" s="273" t="s">
        <v>177</v>
      </c>
      <c r="E64" s="216"/>
      <c r="F64" s="217"/>
      <c r="G64" s="217"/>
      <c r="H64" s="218"/>
      <c r="I64" s="218"/>
      <c r="J64" s="218"/>
      <c r="K64" s="218"/>
      <c r="L64" s="218"/>
      <c r="M64" s="218"/>
      <c r="N64" s="218"/>
      <c r="O64" s="218"/>
      <c r="P64" s="218"/>
      <c r="Q64" s="218"/>
      <c r="R64" s="218"/>
      <c r="S64" s="218"/>
      <c r="T64" s="218"/>
      <c r="U64" s="218"/>
      <c r="V64" s="218"/>
      <c r="W64" s="218"/>
      <c r="X64" s="218"/>
      <c r="Y64" s="218"/>
      <c r="Z64" s="218"/>
      <c r="AA64" s="218"/>
      <c r="AB64" s="196"/>
      <c r="AC64" s="453">
        <f t="shared" ref="AC64" si="23">SUM($E65:$G65)-SUM($I65:$AA65)+$AC62</f>
        <v>0</v>
      </c>
    </row>
    <row r="65" spans="1:29" s="7" customFormat="1" ht="33.75" customHeight="1" thickBot="1">
      <c r="A65" s="459"/>
      <c r="B65" s="482"/>
      <c r="C65" s="15"/>
      <c r="D65" s="274" t="s">
        <v>105</v>
      </c>
      <c r="E65" s="277"/>
      <c r="F65" s="278"/>
      <c r="G65" s="278"/>
      <c r="H65" s="276"/>
      <c r="I65" s="276"/>
      <c r="J65" s="276"/>
      <c r="K65" s="276"/>
      <c r="L65" s="276"/>
      <c r="M65" s="276"/>
      <c r="N65" s="276"/>
      <c r="O65" s="276"/>
      <c r="P65" s="276"/>
      <c r="Q65" s="276"/>
      <c r="R65" s="276"/>
      <c r="S65" s="276"/>
      <c r="T65" s="276"/>
      <c r="U65" s="276"/>
      <c r="V65" s="276"/>
      <c r="W65" s="276"/>
      <c r="X65" s="276"/>
      <c r="Y65" s="276"/>
      <c r="Z65" s="276"/>
      <c r="AA65" s="276"/>
      <c r="AB65" s="197"/>
      <c r="AC65" s="454"/>
    </row>
    <row r="66" spans="1:29" s="7" customFormat="1" ht="33.75" customHeight="1">
      <c r="A66" s="455"/>
      <c r="B66" s="481"/>
      <c r="C66" s="13"/>
      <c r="D66" s="273" t="s">
        <v>177</v>
      </c>
      <c r="E66" s="216"/>
      <c r="F66" s="217"/>
      <c r="G66" s="217"/>
      <c r="H66" s="218"/>
      <c r="I66" s="218"/>
      <c r="J66" s="218"/>
      <c r="K66" s="218"/>
      <c r="L66" s="218"/>
      <c r="M66" s="218"/>
      <c r="N66" s="218"/>
      <c r="O66" s="218"/>
      <c r="P66" s="218"/>
      <c r="Q66" s="218"/>
      <c r="R66" s="218"/>
      <c r="S66" s="218"/>
      <c r="T66" s="218"/>
      <c r="U66" s="218"/>
      <c r="V66" s="218"/>
      <c r="W66" s="218"/>
      <c r="X66" s="218"/>
      <c r="Y66" s="218"/>
      <c r="Z66" s="218"/>
      <c r="AA66" s="218"/>
      <c r="AB66" s="196"/>
      <c r="AC66" s="453">
        <f t="shared" ref="AC66" si="24">SUM($E67:$G67)-SUM($I67:$AA67)+$AC64</f>
        <v>0</v>
      </c>
    </row>
    <row r="67" spans="1:29" s="7" customFormat="1" ht="33.75" customHeight="1" thickBot="1">
      <c r="A67" s="459"/>
      <c r="B67" s="482"/>
      <c r="C67" s="15"/>
      <c r="D67" s="274" t="s">
        <v>105</v>
      </c>
      <c r="E67" s="277"/>
      <c r="F67" s="278"/>
      <c r="G67" s="278"/>
      <c r="H67" s="276"/>
      <c r="I67" s="276"/>
      <c r="J67" s="276"/>
      <c r="K67" s="276"/>
      <c r="L67" s="276"/>
      <c r="M67" s="276"/>
      <c r="N67" s="276"/>
      <c r="O67" s="276"/>
      <c r="P67" s="276"/>
      <c r="Q67" s="276"/>
      <c r="R67" s="276"/>
      <c r="S67" s="276"/>
      <c r="T67" s="276"/>
      <c r="U67" s="276"/>
      <c r="V67" s="276"/>
      <c r="W67" s="276"/>
      <c r="X67" s="276"/>
      <c r="Y67" s="276"/>
      <c r="Z67" s="276"/>
      <c r="AA67" s="276"/>
      <c r="AB67" s="197"/>
      <c r="AC67" s="454"/>
    </row>
    <row r="68" spans="1:29" ht="46.5" customHeight="1">
      <c r="A68" s="469" t="s">
        <v>331</v>
      </c>
      <c r="B68" s="488"/>
      <c r="C68" s="470"/>
      <c r="D68" s="471"/>
      <c r="E68" s="287">
        <f>SUM(E$10:E$67)</f>
        <v>0</v>
      </c>
      <c r="F68" s="287">
        <f>SUM(F$10:F$67)</f>
        <v>0</v>
      </c>
      <c r="G68" s="287">
        <f>SUM(G$10:G$67)</f>
        <v>0</v>
      </c>
      <c r="H68" s="287">
        <f>SUMIF($D$10:$D$41,$D68,H$10:H$41)</f>
        <v>0</v>
      </c>
      <c r="I68" s="287">
        <f t="shared" ref="I68:AA68" si="25">SUM(I$10:I$67)</f>
        <v>0</v>
      </c>
      <c r="J68" s="287">
        <f t="shared" si="25"/>
        <v>0</v>
      </c>
      <c r="K68" s="287">
        <f t="shared" si="25"/>
        <v>0</v>
      </c>
      <c r="L68" s="287">
        <f t="shared" si="25"/>
        <v>0</v>
      </c>
      <c r="M68" s="287">
        <f t="shared" si="25"/>
        <v>0</v>
      </c>
      <c r="N68" s="287">
        <f t="shared" si="25"/>
        <v>0</v>
      </c>
      <c r="O68" s="287">
        <f t="shared" si="25"/>
        <v>0</v>
      </c>
      <c r="P68" s="287">
        <f t="shared" si="25"/>
        <v>0</v>
      </c>
      <c r="Q68" s="287">
        <f t="shared" si="25"/>
        <v>0</v>
      </c>
      <c r="R68" s="287">
        <f t="shared" si="25"/>
        <v>0</v>
      </c>
      <c r="S68" s="287">
        <f t="shared" si="25"/>
        <v>0</v>
      </c>
      <c r="T68" s="287">
        <f t="shared" si="25"/>
        <v>0</v>
      </c>
      <c r="U68" s="287">
        <f t="shared" si="25"/>
        <v>0</v>
      </c>
      <c r="V68" s="287">
        <f t="shared" si="25"/>
        <v>0</v>
      </c>
      <c r="W68" s="287">
        <f t="shared" si="25"/>
        <v>0</v>
      </c>
      <c r="X68" s="287">
        <f t="shared" si="25"/>
        <v>0</v>
      </c>
      <c r="Y68" s="287">
        <f t="shared" si="25"/>
        <v>0</v>
      </c>
      <c r="Z68" s="287">
        <f t="shared" si="25"/>
        <v>0</v>
      </c>
      <c r="AA68" s="287">
        <f t="shared" si="25"/>
        <v>0</v>
      </c>
      <c r="AB68" s="197">
        <f>SUMIF($D$10:$D$41,$D68,AB$10:AB$41)</f>
        <v>0</v>
      </c>
      <c r="AC68" s="193"/>
    </row>
    <row r="69" spans="1:29" ht="33.75" customHeight="1">
      <c r="B69" s="272" t="s">
        <v>330</v>
      </c>
      <c r="E69" s="288"/>
      <c r="F69" s="288"/>
      <c r="G69" s="288"/>
      <c r="H69" s="288"/>
      <c r="I69" s="288"/>
      <c r="J69" s="288"/>
      <c r="K69" s="288"/>
      <c r="L69" s="288"/>
      <c r="M69" s="288"/>
      <c r="N69" s="288"/>
      <c r="O69" s="288"/>
      <c r="P69" s="288"/>
      <c r="Q69" s="288"/>
      <c r="R69" s="288"/>
      <c r="S69" s="288"/>
      <c r="T69" s="288"/>
      <c r="U69" s="288"/>
      <c r="V69" s="288"/>
      <c r="W69" s="289"/>
      <c r="X69" s="289"/>
      <c r="Y69" s="288"/>
      <c r="Z69" s="288"/>
      <c r="AA69" s="288"/>
    </row>
    <row r="70" spans="1:29" ht="33.75" customHeight="1">
      <c r="B70" s="228"/>
      <c r="E70" s="290"/>
      <c r="F70" s="290"/>
      <c r="G70" s="290"/>
      <c r="H70" s="290"/>
      <c r="I70" s="290"/>
      <c r="J70" s="290"/>
      <c r="K70" s="290"/>
      <c r="L70" s="290"/>
      <c r="M70" s="290"/>
      <c r="N70" s="290"/>
      <c r="O70" s="290"/>
      <c r="P70" s="290"/>
      <c r="Q70" s="290"/>
      <c r="R70" s="290"/>
      <c r="S70" s="290"/>
      <c r="T70" s="290"/>
      <c r="U70" s="290"/>
      <c r="V70" s="290"/>
      <c r="W70" s="291"/>
      <c r="X70" s="291"/>
      <c r="Y70" s="290"/>
      <c r="Z70" s="290"/>
      <c r="AA70" s="290"/>
    </row>
    <row r="71" spans="1:29" ht="33.75" customHeight="1">
      <c r="B71" s="228"/>
      <c r="E71" s="288"/>
      <c r="F71" s="288"/>
      <c r="G71" s="288"/>
      <c r="H71" s="288"/>
      <c r="I71" s="288"/>
      <c r="J71" s="288"/>
      <c r="K71" s="288"/>
      <c r="L71" s="288"/>
      <c r="M71" s="288"/>
      <c r="N71" s="288"/>
      <c r="O71" s="288"/>
      <c r="P71" s="288"/>
      <c r="Q71" s="288"/>
      <c r="R71" s="288"/>
      <c r="S71" s="288"/>
      <c r="T71" s="288"/>
      <c r="U71" s="288"/>
      <c r="V71" s="288"/>
      <c r="W71" s="289"/>
      <c r="X71" s="289"/>
      <c r="Y71" s="288"/>
      <c r="Z71" s="288"/>
      <c r="AA71" s="288"/>
    </row>
  </sheetData>
  <sheetProtection sheet="1" objects="1" scenarios="1" selectLockedCells="1"/>
  <mergeCells count="130">
    <mergeCell ref="C6:C9"/>
    <mergeCell ref="D6:D9"/>
    <mergeCell ref="J6:J9"/>
    <mergeCell ref="P6:P9"/>
    <mergeCell ref="AB2:AB3"/>
    <mergeCell ref="AC2:AC3"/>
    <mergeCell ref="AB4:AB6"/>
    <mergeCell ref="AC4:AC6"/>
    <mergeCell ref="E5:G5"/>
    <mergeCell ref="I5:AA5"/>
    <mergeCell ref="E6:E7"/>
    <mergeCell ref="F6:F9"/>
    <mergeCell ref="G6:G7"/>
    <mergeCell ref="H6:H9"/>
    <mergeCell ref="AB7:AB9"/>
    <mergeCell ref="AC7:AC9"/>
    <mergeCell ref="E8:E9"/>
    <mergeCell ref="G8:G9"/>
    <mergeCell ref="D2:G4"/>
    <mergeCell ref="H2:H4"/>
    <mergeCell ref="I2:AA4"/>
    <mergeCell ref="A10:A11"/>
    <mergeCell ref="B10:B11"/>
    <mergeCell ref="AC10:AC11"/>
    <mergeCell ref="W6:W9"/>
    <mergeCell ref="X6:X9"/>
    <mergeCell ref="Y6:Y9"/>
    <mergeCell ref="Z6:Z9"/>
    <mergeCell ref="I7:I8"/>
    <mergeCell ref="AA7:AA8"/>
    <mergeCell ref="Q6:Q9"/>
    <mergeCell ref="R6:R9"/>
    <mergeCell ref="S6:S9"/>
    <mergeCell ref="T6:T9"/>
    <mergeCell ref="U6:U9"/>
    <mergeCell ref="V6:V9"/>
    <mergeCell ref="K6:K9"/>
    <mergeCell ref="L6:L9"/>
    <mergeCell ref="M6:M9"/>
    <mergeCell ref="N6:N9"/>
    <mergeCell ref="O6:O9"/>
    <mergeCell ref="A2:A9"/>
    <mergeCell ref="B2:B4"/>
    <mergeCell ref="C2:C4"/>
    <mergeCell ref="B6:B9"/>
    <mergeCell ref="A16:A17"/>
    <mergeCell ref="B16:B17"/>
    <mergeCell ref="AC16:AC17"/>
    <mergeCell ref="A18:A19"/>
    <mergeCell ref="B18:B19"/>
    <mergeCell ref="AC18:AC19"/>
    <mergeCell ref="A12:A13"/>
    <mergeCell ref="B12:B13"/>
    <mergeCell ref="AC12:AC13"/>
    <mergeCell ref="A14:A15"/>
    <mergeCell ref="B14:B15"/>
    <mergeCell ref="AC14:AC15"/>
    <mergeCell ref="A24:A25"/>
    <mergeCell ref="B24:B25"/>
    <mergeCell ref="AC24:AC25"/>
    <mergeCell ref="A26:A27"/>
    <mergeCell ref="B26:B27"/>
    <mergeCell ref="AC26:AC27"/>
    <mergeCell ref="A20:A21"/>
    <mergeCell ref="B20:B21"/>
    <mergeCell ref="AC20:AC21"/>
    <mergeCell ref="A22:A23"/>
    <mergeCell ref="B22:B23"/>
    <mergeCell ref="AC22:AC23"/>
    <mergeCell ref="A32:A33"/>
    <mergeCell ref="B32:B33"/>
    <mergeCell ref="AC32:AC33"/>
    <mergeCell ref="A34:A35"/>
    <mergeCell ref="B34:B35"/>
    <mergeCell ref="AC34:AC35"/>
    <mergeCell ref="A28:A29"/>
    <mergeCell ref="B28:B29"/>
    <mergeCell ref="AC28:AC29"/>
    <mergeCell ref="A30:A31"/>
    <mergeCell ref="B30:B31"/>
    <mergeCell ref="AC30:AC31"/>
    <mergeCell ref="A40:A41"/>
    <mergeCell ref="B40:B41"/>
    <mergeCell ref="AC40:AC41"/>
    <mergeCell ref="A42:A43"/>
    <mergeCell ref="B42:B43"/>
    <mergeCell ref="AC42:AC43"/>
    <mergeCell ref="A36:A37"/>
    <mergeCell ref="B36:B37"/>
    <mergeCell ref="AC36:AC37"/>
    <mergeCell ref="A38:A39"/>
    <mergeCell ref="B38:B39"/>
    <mergeCell ref="AC38:AC39"/>
    <mergeCell ref="A48:A49"/>
    <mergeCell ref="B48:B49"/>
    <mergeCell ref="AC48:AC49"/>
    <mergeCell ref="A50:A51"/>
    <mergeCell ref="B50:B51"/>
    <mergeCell ref="AC50:AC51"/>
    <mergeCell ref="A44:A45"/>
    <mergeCell ref="B44:B45"/>
    <mergeCell ref="AC44:AC45"/>
    <mergeCell ref="A46:A47"/>
    <mergeCell ref="B46:B47"/>
    <mergeCell ref="AC46:AC47"/>
    <mergeCell ref="A56:A57"/>
    <mergeCell ref="B56:B57"/>
    <mergeCell ref="AC56:AC57"/>
    <mergeCell ref="A58:A59"/>
    <mergeCell ref="B58:B59"/>
    <mergeCell ref="AC58:AC59"/>
    <mergeCell ref="A52:A53"/>
    <mergeCell ref="B52:B53"/>
    <mergeCell ref="AC52:AC53"/>
    <mergeCell ref="A54:A55"/>
    <mergeCell ref="B54:B55"/>
    <mergeCell ref="AC54:AC55"/>
    <mergeCell ref="A68:D68"/>
    <mergeCell ref="A64:A65"/>
    <mergeCell ref="B64:B65"/>
    <mergeCell ref="AC64:AC65"/>
    <mergeCell ref="A66:A67"/>
    <mergeCell ref="B66:B67"/>
    <mergeCell ref="AC66:AC67"/>
    <mergeCell ref="A60:A61"/>
    <mergeCell ref="B60:B61"/>
    <mergeCell ref="AC60:AC61"/>
    <mergeCell ref="A62:A63"/>
    <mergeCell ref="B62:B63"/>
    <mergeCell ref="AC62:AC63"/>
  </mergeCells>
  <phoneticPr fontId="1"/>
  <pageMargins left="0.47244094488188981" right="0.31496062992125984" top="0.59055118110236227" bottom="0.19685039370078741" header="0.31496062992125984" footer="0.31496062992125984"/>
  <pageSetup paperSize="9" scale="45" orientation="landscape" r:id="rId1"/>
  <rowBreaks count="1" manualBreakCount="1">
    <brk id="3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CEF7D-3A55-4BC1-9549-EFC9664AFC25}">
  <dimension ref="A1:AT76"/>
  <sheetViews>
    <sheetView zoomScale="50" zoomScaleNormal="50" workbookViewId="0">
      <pane xSplit="4" ySplit="9" topLeftCell="E58" activePane="bottomRight" state="frozen"/>
      <selection activeCell="E10" sqref="E10:AA71"/>
      <selection pane="topRight" activeCell="E10" sqref="E10:AA71"/>
      <selection pane="bottomLeft" activeCell="E10" sqref="E10:AA71"/>
      <selection pane="bottomRight" activeCell="G66" sqref="G66:G67"/>
    </sheetView>
  </sheetViews>
  <sheetFormatPr defaultRowHeight="33.75" customHeight="1"/>
  <cols>
    <col min="1" max="1" width="3.625" customWidth="1"/>
    <col min="2" max="2" width="34.375" customWidth="1"/>
    <col min="3" max="3" width="0.375" customWidth="1"/>
    <col min="4" max="4" width="4.625" customWidth="1"/>
    <col min="5" max="7" width="10" customWidth="1"/>
    <col min="8" max="8" width="0.25" customWidth="1"/>
    <col min="9" max="22" width="10" customWidth="1"/>
    <col min="23" max="24" width="10" style="17" customWidth="1"/>
    <col min="25" max="27" width="10" customWidth="1"/>
    <col min="28" max="28" width="0.25" customWidth="1"/>
    <col min="29" max="29" width="14" customWidth="1"/>
  </cols>
  <sheetData>
    <row r="1" spans="1:29" ht="26.25" customHeight="1" thickBot="1">
      <c r="B1" s="4"/>
    </row>
    <row r="2" spans="1:29" ht="15" customHeight="1">
      <c r="A2" s="377" t="s">
        <v>24</v>
      </c>
      <c r="B2" s="380" t="s">
        <v>333</v>
      </c>
      <c r="C2" s="383"/>
      <c r="D2" s="355" t="s">
        <v>189</v>
      </c>
      <c r="E2" s="356"/>
      <c r="F2" s="356"/>
      <c r="G2" s="356"/>
      <c r="H2" s="386"/>
      <c r="I2" s="355" t="s">
        <v>188</v>
      </c>
      <c r="J2" s="356"/>
      <c r="K2" s="356"/>
      <c r="L2" s="356"/>
      <c r="M2" s="356"/>
      <c r="N2" s="356"/>
      <c r="O2" s="356"/>
      <c r="P2" s="356"/>
      <c r="Q2" s="356"/>
      <c r="R2" s="356"/>
      <c r="S2" s="356"/>
      <c r="T2" s="356"/>
      <c r="U2" s="356"/>
      <c r="V2" s="356"/>
      <c r="W2" s="356"/>
      <c r="X2" s="356"/>
      <c r="Y2" s="356"/>
      <c r="Z2" s="356"/>
      <c r="AA2" s="356"/>
      <c r="AB2" s="424"/>
      <c r="AC2" s="445" t="s">
        <v>265</v>
      </c>
    </row>
    <row r="3" spans="1:29" ht="18.75" customHeight="1">
      <c r="A3" s="378"/>
      <c r="B3" s="381"/>
      <c r="C3" s="384"/>
      <c r="D3" s="358"/>
      <c r="E3" s="359"/>
      <c r="F3" s="359"/>
      <c r="G3" s="359"/>
      <c r="H3" s="387"/>
      <c r="I3" s="358"/>
      <c r="J3" s="359"/>
      <c r="K3" s="359"/>
      <c r="L3" s="359"/>
      <c r="M3" s="359"/>
      <c r="N3" s="359"/>
      <c r="O3" s="359"/>
      <c r="P3" s="359"/>
      <c r="Q3" s="359"/>
      <c r="R3" s="359"/>
      <c r="S3" s="359"/>
      <c r="T3" s="359"/>
      <c r="U3" s="359"/>
      <c r="V3" s="359"/>
      <c r="W3" s="359"/>
      <c r="X3" s="359"/>
      <c r="Y3" s="359"/>
      <c r="Z3" s="359"/>
      <c r="AA3" s="359"/>
      <c r="AB3" s="425"/>
      <c r="AC3" s="446"/>
    </row>
    <row r="4" spans="1:29" ht="11.25" customHeight="1">
      <c r="A4" s="378"/>
      <c r="B4" s="382"/>
      <c r="C4" s="385"/>
      <c r="D4" s="361"/>
      <c r="E4" s="362"/>
      <c r="F4" s="362"/>
      <c r="G4" s="362"/>
      <c r="H4" s="388"/>
      <c r="I4" s="361"/>
      <c r="J4" s="362"/>
      <c r="K4" s="362"/>
      <c r="L4" s="362"/>
      <c r="M4" s="362"/>
      <c r="N4" s="362"/>
      <c r="O4" s="362"/>
      <c r="P4" s="362"/>
      <c r="Q4" s="362"/>
      <c r="R4" s="362"/>
      <c r="S4" s="362"/>
      <c r="T4" s="362"/>
      <c r="U4" s="362"/>
      <c r="V4" s="362"/>
      <c r="W4" s="362"/>
      <c r="X4" s="362"/>
      <c r="Y4" s="362"/>
      <c r="Z4" s="362"/>
      <c r="AA4" s="362"/>
      <c r="AB4" s="434"/>
      <c r="AC4" s="447" t="s">
        <v>49</v>
      </c>
    </row>
    <row r="5" spans="1:29" ht="2.25" customHeight="1">
      <c r="A5" s="378"/>
      <c r="B5" s="38"/>
      <c r="C5" s="3"/>
      <c r="D5" s="204"/>
      <c r="E5" s="397"/>
      <c r="F5" s="398"/>
      <c r="G5" s="398"/>
      <c r="H5" s="3"/>
      <c r="I5" s="397"/>
      <c r="J5" s="398"/>
      <c r="K5" s="398"/>
      <c r="L5" s="398"/>
      <c r="M5" s="398"/>
      <c r="N5" s="398"/>
      <c r="O5" s="398"/>
      <c r="P5" s="398"/>
      <c r="Q5" s="398"/>
      <c r="R5" s="398"/>
      <c r="S5" s="398"/>
      <c r="T5" s="398"/>
      <c r="U5" s="398"/>
      <c r="V5" s="398"/>
      <c r="W5" s="398"/>
      <c r="X5" s="398"/>
      <c r="Y5" s="398"/>
      <c r="Z5" s="398"/>
      <c r="AA5" s="398"/>
      <c r="AB5" s="435"/>
      <c r="AC5" s="448"/>
    </row>
    <row r="6" spans="1:29" s="201" customFormat="1" ht="15" customHeight="1">
      <c r="A6" s="378"/>
      <c r="B6" s="389" t="s">
        <v>51</v>
      </c>
      <c r="C6" s="391"/>
      <c r="D6" s="391"/>
      <c r="E6" s="391" t="s">
        <v>26</v>
      </c>
      <c r="F6" s="391" t="str">
        <f>雑収入</f>
        <v>雑収入</v>
      </c>
      <c r="G6" s="444" t="s">
        <v>27</v>
      </c>
      <c r="H6" s="391"/>
      <c r="I6" s="199" t="s">
        <v>28</v>
      </c>
      <c r="J6" s="391" t="str">
        <f>租税公課</f>
        <v>租税公課</v>
      </c>
      <c r="K6" s="391" t="s">
        <v>101</v>
      </c>
      <c r="L6" s="391" t="s">
        <v>6</v>
      </c>
      <c r="M6" s="364" t="str">
        <f>通信費</f>
        <v>通信費</v>
      </c>
      <c r="N6" s="391" t="s">
        <v>8</v>
      </c>
      <c r="O6" s="391" t="s">
        <v>9</v>
      </c>
      <c r="P6" s="391" t="s">
        <v>10</v>
      </c>
      <c r="Q6" s="364" t="str">
        <f>修繕費</f>
        <v>修繕費</v>
      </c>
      <c r="R6" s="391" t="str">
        <f>消耗品費</f>
        <v>消耗品費</v>
      </c>
      <c r="S6" s="391" t="s">
        <v>97</v>
      </c>
      <c r="T6" s="391" t="str">
        <f>給料賃金</f>
        <v>給料賃金</v>
      </c>
      <c r="U6" s="391" t="str">
        <f>外注工賃</f>
        <v>外注工賃</v>
      </c>
      <c r="V6" s="391" t="s">
        <v>16</v>
      </c>
      <c r="W6" s="364" t="str">
        <f>車両費</f>
        <v>車両費</v>
      </c>
      <c r="X6" s="484" t="str">
        <f>空欄1</f>
        <v>空欄1</v>
      </c>
      <c r="Y6" s="391" t="str">
        <f>空欄2</f>
        <v>空欄2</v>
      </c>
      <c r="Z6" s="391" t="str">
        <f>雑費</f>
        <v>雑費</v>
      </c>
      <c r="AA6" s="200" t="s">
        <v>143</v>
      </c>
      <c r="AB6" s="425"/>
      <c r="AC6" s="446"/>
    </row>
    <row r="7" spans="1:29" s="201" customFormat="1" ht="7.5" customHeight="1">
      <c r="A7" s="378"/>
      <c r="B7" s="387"/>
      <c r="C7" s="392"/>
      <c r="D7" s="392"/>
      <c r="E7" s="392"/>
      <c r="F7" s="392"/>
      <c r="G7" s="426"/>
      <c r="H7" s="392"/>
      <c r="I7" s="366" t="s">
        <v>38</v>
      </c>
      <c r="J7" s="392"/>
      <c r="K7" s="392"/>
      <c r="L7" s="392"/>
      <c r="M7" s="366"/>
      <c r="N7" s="392"/>
      <c r="O7" s="392"/>
      <c r="P7" s="392"/>
      <c r="Q7" s="366"/>
      <c r="R7" s="392"/>
      <c r="S7" s="392"/>
      <c r="T7" s="392"/>
      <c r="U7" s="392"/>
      <c r="V7" s="392"/>
      <c r="W7" s="366"/>
      <c r="X7" s="485"/>
      <c r="Y7" s="392"/>
      <c r="Z7" s="392"/>
      <c r="AA7" s="426" t="s">
        <v>98</v>
      </c>
      <c r="AB7" s="391"/>
      <c r="AC7" s="489">
        <f>繰越・2月</f>
        <v>0</v>
      </c>
    </row>
    <row r="8" spans="1:29" s="201" customFormat="1" ht="7.5" customHeight="1">
      <c r="A8" s="378"/>
      <c r="B8" s="387"/>
      <c r="C8" s="392"/>
      <c r="D8" s="392"/>
      <c r="E8" s="392" t="s">
        <v>36</v>
      </c>
      <c r="F8" s="392"/>
      <c r="G8" s="426" t="s">
        <v>37</v>
      </c>
      <c r="H8" s="392"/>
      <c r="I8" s="366"/>
      <c r="J8" s="392"/>
      <c r="K8" s="392"/>
      <c r="L8" s="392"/>
      <c r="M8" s="366"/>
      <c r="N8" s="392"/>
      <c r="O8" s="392"/>
      <c r="P8" s="392"/>
      <c r="Q8" s="366"/>
      <c r="R8" s="392"/>
      <c r="S8" s="392"/>
      <c r="T8" s="392"/>
      <c r="U8" s="392"/>
      <c r="V8" s="392"/>
      <c r="W8" s="366"/>
      <c r="X8" s="485"/>
      <c r="Y8" s="392"/>
      <c r="Z8" s="392"/>
      <c r="AA8" s="426"/>
      <c r="AB8" s="392"/>
      <c r="AC8" s="490"/>
    </row>
    <row r="9" spans="1:29" s="201" customFormat="1" ht="15" customHeight="1" thickBot="1">
      <c r="A9" s="379"/>
      <c r="B9" s="390"/>
      <c r="C9" s="393"/>
      <c r="D9" s="393"/>
      <c r="E9" s="393"/>
      <c r="F9" s="393"/>
      <c r="G9" s="416"/>
      <c r="H9" s="393"/>
      <c r="I9" s="202" t="s">
        <v>50</v>
      </c>
      <c r="J9" s="393"/>
      <c r="K9" s="393"/>
      <c r="L9" s="393"/>
      <c r="M9" s="368"/>
      <c r="N9" s="393"/>
      <c r="O9" s="393"/>
      <c r="P9" s="393"/>
      <c r="Q9" s="368"/>
      <c r="R9" s="393"/>
      <c r="S9" s="393"/>
      <c r="T9" s="393"/>
      <c r="U9" s="393"/>
      <c r="V9" s="393"/>
      <c r="W9" s="368"/>
      <c r="X9" s="486"/>
      <c r="Y9" s="393"/>
      <c r="Z9" s="393"/>
      <c r="AA9" s="203" t="s">
        <v>231</v>
      </c>
      <c r="AB9" s="392"/>
      <c r="AC9" s="490"/>
    </row>
    <row r="10" spans="1:29" s="7" customFormat="1" ht="33.75" customHeight="1">
      <c r="A10" s="455">
        <v>1</v>
      </c>
      <c r="B10" s="481"/>
      <c r="C10" s="13"/>
      <c r="D10" s="273" t="s">
        <v>177</v>
      </c>
      <c r="E10" s="216"/>
      <c r="F10" s="217"/>
      <c r="G10" s="217"/>
      <c r="H10" s="218"/>
      <c r="I10" s="217"/>
      <c r="J10" s="218"/>
      <c r="K10" s="217"/>
      <c r="L10" s="218"/>
      <c r="M10" s="217"/>
      <c r="N10" s="218"/>
      <c r="O10" s="217"/>
      <c r="P10" s="218"/>
      <c r="Q10" s="217"/>
      <c r="R10" s="218"/>
      <c r="S10" s="217"/>
      <c r="T10" s="218"/>
      <c r="U10" s="217"/>
      <c r="V10" s="217"/>
      <c r="W10" s="217"/>
      <c r="X10" s="219"/>
      <c r="Y10" s="217"/>
      <c r="Z10" s="217"/>
      <c r="AA10" s="217"/>
      <c r="AB10" s="196"/>
      <c r="AC10" s="460">
        <f>SUM($E11:$G11)-SUM($I11:$AA11)+$AC$7</f>
        <v>0</v>
      </c>
    </row>
    <row r="11" spans="1:29" s="7" customFormat="1" ht="33.75" customHeight="1" thickBot="1">
      <c r="A11" s="459"/>
      <c r="B11" s="487"/>
      <c r="C11" s="15"/>
      <c r="D11" s="274" t="s">
        <v>105</v>
      </c>
      <c r="E11" s="277"/>
      <c r="F11" s="278"/>
      <c r="G11" s="278"/>
      <c r="H11" s="276"/>
      <c r="I11" s="278"/>
      <c r="J11" s="276"/>
      <c r="K11" s="278"/>
      <c r="L11" s="276"/>
      <c r="M11" s="278"/>
      <c r="N11" s="276"/>
      <c r="O11" s="278"/>
      <c r="P11" s="276"/>
      <c r="Q11" s="278"/>
      <c r="R11" s="276"/>
      <c r="S11" s="278"/>
      <c r="T11" s="276"/>
      <c r="U11" s="278"/>
      <c r="V11" s="278"/>
      <c r="W11" s="278"/>
      <c r="X11" s="284"/>
      <c r="Y11" s="278"/>
      <c r="Z11" s="278"/>
      <c r="AA11" s="278"/>
      <c r="AB11" s="197"/>
      <c r="AC11" s="454"/>
    </row>
    <row r="12" spans="1:29" s="7" customFormat="1" ht="33.75" customHeight="1">
      <c r="A12" s="449">
        <v>2</v>
      </c>
      <c r="B12" s="483"/>
      <c r="C12" s="13"/>
      <c r="D12" s="273" t="s">
        <v>177</v>
      </c>
      <c r="E12" s="216"/>
      <c r="F12" s="217"/>
      <c r="G12" s="217"/>
      <c r="H12" s="218"/>
      <c r="I12" s="218"/>
      <c r="J12" s="218"/>
      <c r="K12" s="218"/>
      <c r="L12" s="218"/>
      <c r="M12" s="218"/>
      <c r="N12" s="218"/>
      <c r="O12" s="218"/>
      <c r="P12" s="218"/>
      <c r="Q12" s="218"/>
      <c r="R12" s="218"/>
      <c r="S12" s="218"/>
      <c r="T12" s="218"/>
      <c r="U12" s="218"/>
      <c r="V12" s="218"/>
      <c r="W12" s="218"/>
      <c r="X12" s="221"/>
      <c r="Y12" s="218"/>
      <c r="Z12" s="218"/>
      <c r="AA12" s="218"/>
      <c r="AB12" s="196"/>
      <c r="AC12" s="453">
        <f>SUM($E13:$G13)-SUM($I13:$AA13)+$AC10</f>
        <v>0</v>
      </c>
    </row>
    <row r="13" spans="1:29" s="7" customFormat="1" ht="33.75" customHeight="1" thickBot="1">
      <c r="A13" s="450"/>
      <c r="B13" s="482"/>
      <c r="C13" s="15"/>
      <c r="D13" s="274" t="s">
        <v>105</v>
      </c>
      <c r="E13" s="277"/>
      <c r="F13" s="278"/>
      <c r="G13" s="278"/>
      <c r="H13" s="276"/>
      <c r="I13" s="276"/>
      <c r="J13" s="276"/>
      <c r="K13" s="276"/>
      <c r="L13" s="276"/>
      <c r="M13" s="276"/>
      <c r="N13" s="276"/>
      <c r="O13" s="276"/>
      <c r="P13" s="276"/>
      <c r="Q13" s="276"/>
      <c r="R13" s="276"/>
      <c r="S13" s="276"/>
      <c r="T13" s="276"/>
      <c r="U13" s="276"/>
      <c r="V13" s="276"/>
      <c r="W13" s="276"/>
      <c r="X13" s="279"/>
      <c r="Y13" s="276"/>
      <c r="Z13" s="276"/>
      <c r="AA13" s="276"/>
      <c r="AB13" s="197"/>
      <c r="AC13" s="454"/>
    </row>
    <row r="14" spans="1:29" s="7" customFormat="1" ht="33.75" customHeight="1">
      <c r="A14" s="455">
        <v>3</v>
      </c>
      <c r="B14" s="481"/>
      <c r="C14" s="13"/>
      <c r="D14" s="273" t="s">
        <v>177</v>
      </c>
      <c r="E14" s="216"/>
      <c r="F14" s="217"/>
      <c r="G14" s="217"/>
      <c r="H14" s="218"/>
      <c r="I14" s="218"/>
      <c r="J14" s="218"/>
      <c r="K14" s="218"/>
      <c r="L14" s="218"/>
      <c r="M14" s="218"/>
      <c r="N14" s="218"/>
      <c r="O14" s="218"/>
      <c r="P14" s="218"/>
      <c r="Q14" s="218"/>
      <c r="R14" s="218"/>
      <c r="S14" s="218"/>
      <c r="T14" s="218"/>
      <c r="U14" s="218"/>
      <c r="V14" s="218"/>
      <c r="W14" s="218"/>
      <c r="X14" s="221"/>
      <c r="Y14" s="218"/>
      <c r="Z14" s="218"/>
      <c r="AA14" s="218"/>
      <c r="AB14" s="196"/>
      <c r="AC14" s="453">
        <f>SUM($E15:$G15)-SUM($I15:$AA15)+$AC12</f>
        <v>0</v>
      </c>
    </row>
    <row r="15" spans="1:29" s="7" customFormat="1" ht="33.75" customHeight="1" thickBot="1">
      <c r="A15" s="456"/>
      <c r="B15" s="482"/>
      <c r="C15" s="15"/>
      <c r="D15" s="274" t="s">
        <v>105</v>
      </c>
      <c r="E15" s="277"/>
      <c r="F15" s="278"/>
      <c r="G15" s="278"/>
      <c r="H15" s="276"/>
      <c r="I15" s="276"/>
      <c r="J15" s="276"/>
      <c r="K15" s="276"/>
      <c r="L15" s="276"/>
      <c r="M15" s="276"/>
      <c r="N15" s="276"/>
      <c r="O15" s="276"/>
      <c r="P15" s="276"/>
      <c r="Q15" s="276"/>
      <c r="R15" s="276"/>
      <c r="S15" s="276"/>
      <c r="T15" s="276"/>
      <c r="U15" s="276"/>
      <c r="V15" s="276"/>
      <c r="W15" s="276"/>
      <c r="X15" s="279"/>
      <c r="Y15" s="276"/>
      <c r="Z15" s="276"/>
      <c r="AA15" s="276"/>
      <c r="AB15" s="197"/>
      <c r="AC15" s="454"/>
    </row>
    <row r="16" spans="1:29" s="7" customFormat="1" ht="33.75" customHeight="1">
      <c r="A16" s="464">
        <v>4</v>
      </c>
      <c r="B16" s="481"/>
      <c r="C16" s="13"/>
      <c r="D16" s="273" t="s">
        <v>177</v>
      </c>
      <c r="E16" s="216"/>
      <c r="F16" s="217"/>
      <c r="G16" s="217"/>
      <c r="H16" s="218"/>
      <c r="I16" s="218"/>
      <c r="J16" s="218"/>
      <c r="K16" s="218"/>
      <c r="L16" s="218"/>
      <c r="M16" s="218"/>
      <c r="N16" s="218"/>
      <c r="O16" s="218"/>
      <c r="P16" s="218"/>
      <c r="Q16" s="218"/>
      <c r="R16" s="218"/>
      <c r="S16" s="218"/>
      <c r="T16" s="218"/>
      <c r="U16" s="218"/>
      <c r="V16" s="218"/>
      <c r="W16" s="218"/>
      <c r="X16" s="221"/>
      <c r="Y16" s="218"/>
      <c r="Z16" s="218"/>
      <c r="AA16" s="218"/>
      <c r="AB16" s="196"/>
      <c r="AC16" s="453">
        <f t="shared" ref="AC16" si="0">SUM($E17:$G17)-SUM($I17:$AA17)+$AC14</f>
        <v>0</v>
      </c>
    </row>
    <row r="17" spans="1:29" s="7" customFormat="1" ht="33.75" customHeight="1" thickBot="1">
      <c r="A17" s="450"/>
      <c r="B17" s="482"/>
      <c r="C17" s="15"/>
      <c r="D17" s="274" t="s">
        <v>105</v>
      </c>
      <c r="E17" s="277"/>
      <c r="F17" s="278"/>
      <c r="G17" s="278"/>
      <c r="H17" s="276"/>
      <c r="I17" s="276"/>
      <c r="J17" s="276"/>
      <c r="K17" s="276"/>
      <c r="L17" s="276"/>
      <c r="M17" s="276"/>
      <c r="N17" s="276"/>
      <c r="O17" s="276"/>
      <c r="P17" s="276"/>
      <c r="Q17" s="276"/>
      <c r="R17" s="276"/>
      <c r="S17" s="276"/>
      <c r="T17" s="276"/>
      <c r="U17" s="276"/>
      <c r="V17" s="276"/>
      <c r="W17" s="276"/>
      <c r="X17" s="279"/>
      <c r="Y17" s="276"/>
      <c r="Z17" s="276"/>
      <c r="AA17" s="276"/>
      <c r="AB17" s="197"/>
      <c r="AC17" s="454"/>
    </row>
    <row r="18" spans="1:29" s="7" customFormat="1" ht="33.75" customHeight="1">
      <c r="A18" s="455">
        <v>5</v>
      </c>
      <c r="B18" s="481"/>
      <c r="C18" s="13"/>
      <c r="D18" s="273" t="s">
        <v>177</v>
      </c>
      <c r="E18" s="216"/>
      <c r="F18" s="217"/>
      <c r="G18" s="217"/>
      <c r="H18" s="218"/>
      <c r="I18" s="218"/>
      <c r="J18" s="218"/>
      <c r="K18" s="218"/>
      <c r="L18" s="218"/>
      <c r="M18" s="218"/>
      <c r="N18" s="218"/>
      <c r="O18" s="218"/>
      <c r="P18" s="218"/>
      <c r="Q18" s="218"/>
      <c r="R18" s="218"/>
      <c r="S18" s="218"/>
      <c r="T18" s="218"/>
      <c r="U18" s="218"/>
      <c r="V18" s="218"/>
      <c r="W18" s="218"/>
      <c r="X18" s="221"/>
      <c r="Y18" s="218"/>
      <c r="Z18" s="218"/>
      <c r="AA18" s="218"/>
      <c r="AB18" s="196"/>
      <c r="AC18" s="453">
        <f t="shared" ref="AC18" si="1">SUM($E19:$G19)-SUM($I19:$AA19)+$AC16</f>
        <v>0</v>
      </c>
    </row>
    <row r="19" spans="1:29" s="7" customFormat="1" ht="33.75" customHeight="1" thickBot="1">
      <c r="A19" s="456"/>
      <c r="B19" s="482"/>
      <c r="C19" s="15"/>
      <c r="D19" s="274" t="s">
        <v>105</v>
      </c>
      <c r="E19" s="277"/>
      <c r="F19" s="278"/>
      <c r="G19" s="278"/>
      <c r="H19" s="276"/>
      <c r="I19" s="276"/>
      <c r="J19" s="276"/>
      <c r="K19" s="276"/>
      <c r="L19" s="276"/>
      <c r="M19" s="276"/>
      <c r="N19" s="276"/>
      <c r="O19" s="276"/>
      <c r="P19" s="276"/>
      <c r="Q19" s="276"/>
      <c r="R19" s="276"/>
      <c r="S19" s="276"/>
      <c r="T19" s="276"/>
      <c r="U19" s="276"/>
      <c r="V19" s="276"/>
      <c r="W19" s="276"/>
      <c r="X19" s="279"/>
      <c r="Y19" s="276"/>
      <c r="Z19" s="276"/>
      <c r="AA19" s="276"/>
      <c r="AB19" s="197"/>
      <c r="AC19" s="454"/>
    </row>
    <row r="20" spans="1:29" s="7" customFormat="1" ht="33.75" customHeight="1">
      <c r="A20" s="464">
        <v>6</v>
      </c>
      <c r="B20" s="481"/>
      <c r="C20" s="13"/>
      <c r="D20" s="273" t="s">
        <v>177</v>
      </c>
      <c r="E20" s="216"/>
      <c r="F20" s="217"/>
      <c r="G20" s="217"/>
      <c r="H20" s="218"/>
      <c r="I20" s="218"/>
      <c r="J20" s="218"/>
      <c r="K20" s="218"/>
      <c r="L20" s="218"/>
      <c r="M20" s="218"/>
      <c r="N20" s="218"/>
      <c r="O20" s="218"/>
      <c r="P20" s="218"/>
      <c r="Q20" s="218"/>
      <c r="R20" s="218"/>
      <c r="S20" s="218"/>
      <c r="T20" s="218"/>
      <c r="U20" s="218"/>
      <c r="V20" s="218"/>
      <c r="W20" s="218"/>
      <c r="X20" s="221"/>
      <c r="Y20" s="218"/>
      <c r="Z20" s="218"/>
      <c r="AA20" s="218"/>
      <c r="AB20" s="196"/>
      <c r="AC20" s="453">
        <f t="shared" ref="AC20" si="2">SUM($E21:$G21)-SUM($I21:$AA21)+$AC18</f>
        <v>0</v>
      </c>
    </row>
    <row r="21" spans="1:29" s="7" customFormat="1" ht="33.75" customHeight="1" thickBot="1">
      <c r="A21" s="450"/>
      <c r="B21" s="482"/>
      <c r="C21" s="15"/>
      <c r="D21" s="274" t="s">
        <v>105</v>
      </c>
      <c r="E21" s="277"/>
      <c r="F21" s="278"/>
      <c r="G21" s="278"/>
      <c r="H21" s="276"/>
      <c r="I21" s="276"/>
      <c r="J21" s="276"/>
      <c r="K21" s="276"/>
      <c r="L21" s="276"/>
      <c r="M21" s="276"/>
      <c r="N21" s="276"/>
      <c r="O21" s="276"/>
      <c r="P21" s="276"/>
      <c r="Q21" s="276"/>
      <c r="R21" s="276"/>
      <c r="S21" s="276"/>
      <c r="T21" s="276"/>
      <c r="U21" s="276"/>
      <c r="V21" s="276"/>
      <c r="W21" s="276"/>
      <c r="X21" s="279"/>
      <c r="Y21" s="276"/>
      <c r="Z21" s="276"/>
      <c r="AA21" s="276"/>
      <c r="AB21" s="197"/>
      <c r="AC21" s="454"/>
    </row>
    <row r="22" spans="1:29" s="7" customFormat="1" ht="33.75" customHeight="1">
      <c r="A22" s="455">
        <v>7</v>
      </c>
      <c r="B22" s="481"/>
      <c r="C22" s="13"/>
      <c r="D22" s="273" t="s">
        <v>177</v>
      </c>
      <c r="E22" s="216"/>
      <c r="F22" s="217"/>
      <c r="G22" s="217"/>
      <c r="H22" s="218"/>
      <c r="I22" s="218"/>
      <c r="J22" s="218"/>
      <c r="K22" s="218"/>
      <c r="L22" s="218"/>
      <c r="M22" s="218"/>
      <c r="N22" s="218"/>
      <c r="O22" s="218"/>
      <c r="P22" s="218"/>
      <c r="Q22" s="218"/>
      <c r="R22" s="218"/>
      <c r="S22" s="218"/>
      <c r="T22" s="218"/>
      <c r="U22" s="218"/>
      <c r="V22" s="218"/>
      <c r="W22" s="218"/>
      <c r="X22" s="221"/>
      <c r="Y22" s="218"/>
      <c r="Z22" s="218"/>
      <c r="AA22" s="218"/>
      <c r="AB22" s="196"/>
      <c r="AC22" s="453">
        <f t="shared" ref="AC22" si="3">SUM($E23:$G23)-SUM($I23:$AA23)+$AC20</f>
        <v>0</v>
      </c>
    </row>
    <row r="23" spans="1:29" s="7" customFormat="1" ht="33.75" customHeight="1" thickBot="1">
      <c r="A23" s="456"/>
      <c r="B23" s="482"/>
      <c r="C23" s="15"/>
      <c r="D23" s="274" t="s">
        <v>105</v>
      </c>
      <c r="E23" s="277"/>
      <c r="F23" s="278"/>
      <c r="G23" s="278"/>
      <c r="H23" s="276"/>
      <c r="I23" s="276"/>
      <c r="J23" s="276"/>
      <c r="K23" s="276"/>
      <c r="L23" s="276"/>
      <c r="M23" s="276"/>
      <c r="N23" s="276"/>
      <c r="O23" s="276"/>
      <c r="P23" s="276"/>
      <c r="Q23" s="276"/>
      <c r="R23" s="276"/>
      <c r="S23" s="276"/>
      <c r="T23" s="276"/>
      <c r="U23" s="276"/>
      <c r="V23" s="276"/>
      <c r="W23" s="276"/>
      <c r="X23" s="279"/>
      <c r="Y23" s="276"/>
      <c r="Z23" s="276"/>
      <c r="AA23" s="276"/>
      <c r="AB23" s="197"/>
      <c r="AC23" s="454"/>
    </row>
    <row r="24" spans="1:29" s="7" customFormat="1" ht="33.75" customHeight="1">
      <c r="A24" s="464">
        <v>8</v>
      </c>
      <c r="B24" s="481"/>
      <c r="C24" s="13"/>
      <c r="D24" s="273" t="s">
        <v>177</v>
      </c>
      <c r="E24" s="216"/>
      <c r="F24" s="217"/>
      <c r="G24" s="217"/>
      <c r="H24" s="218"/>
      <c r="I24" s="218"/>
      <c r="J24" s="218"/>
      <c r="K24" s="218"/>
      <c r="L24" s="218"/>
      <c r="M24" s="218"/>
      <c r="N24" s="218"/>
      <c r="O24" s="218"/>
      <c r="P24" s="218"/>
      <c r="Q24" s="218"/>
      <c r="R24" s="218"/>
      <c r="S24" s="218"/>
      <c r="T24" s="218"/>
      <c r="U24" s="218"/>
      <c r="V24" s="218"/>
      <c r="W24" s="218"/>
      <c r="X24" s="221"/>
      <c r="Y24" s="218"/>
      <c r="Z24" s="218"/>
      <c r="AA24" s="218"/>
      <c r="AB24" s="196"/>
      <c r="AC24" s="453">
        <f t="shared" ref="AC24" si="4">SUM($E25:$G25)-SUM($I25:$AA25)+$AC22</f>
        <v>0</v>
      </c>
    </row>
    <row r="25" spans="1:29" s="7" customFormat="1" ht="33.75" customHeight="1" thickBot="1">
      <c r="A25" s="450"/>
      <c r="B25" s="482"/>
      <c r="C25" s="15"/>
      <c r="D25" s="274" t="s">
        <v>105</v>
      </c>
      <c r="E25" s="277"/>
      <c r="F25" s="278"/>
      <c r="G25" s="278"/>
      <c r="H25" s="276"/>
      <c r="I25" s="276"/>
      <c r="J25" s="276"/>
      <c r="K25" s="276"/>
      <c r="L25" s="276"/>
      <c r="M25" s="276"/>
      <c r="N25" s="276"/>
      <c r="O25" s="276"/>
      <c r="P25" s="276"/>
      <c r="Q25" s="276"/>
      <c r="R25" s="276"/>
      <c r="S25" s="276"/>
      <c r="T25" s="276"/>
      <c r="U25" s="276"/>
      <c r="V25" s="276"/>
      <c r="W25" s="276"/>
      <c r="X25" s="279"/>
      <c r="Y25" s="276"/>
      <c r="Z25" s="276"/>
      <c r="AA25" s="276"/>
      <c r="AB25" s="197"/>
      <c r="AC25" s="454"/>
    </row>
    <row r="26" spans="1:29" s="7" customFormat="1" ht="33.75" customHeight="1">
      <c r="A26" s="455">
        <v>9</v>
      </c>
      <c r="B26" s="481"/>
      <c r="C26" s="13"/>
      <c r="D26" s="273" t="s">
        <v>177</v>
      </c>
      <c r="E26" s="216"/>
      <c r="F26" s="217"/>
      <c r="G26" s="217"/>
      <c r="H26" s="218"/>
      <c r="I26" s="218"/>
      <c r="J26" s="218"/>
      <c r="K26" s="218"/>
      <c r="L26" s="218"/>
      <c r="M26" s="218"/>
      <c r="N26" s="218"/>
      <c r="O26" s="218"/>
      <c r="P26" s="218"/>
      <c r="Q26" s="218"/>
      <c r="R26" s="218"/>
      <c r="S26" s="218"/>
      <c r="T26" s="218"/>
      <c r="U26" s="218"/>
      <c r="V26" s="218"/>
      <c r="W26" s="218"/>
      <c r="X26" s="221"/>
      <c r="Y26" s="218"/>
      <c r="Z26" s="218"/>
      <c r="AA26" s="218"/>
      <c r="AB26" s="196"/>
      <c r="AC26" s="453">
        <f t="shared" ref="AC26" si="5">SUM($E27:$G27)-SUM($I27:$AA27)+$AC24</f>
        <v>0</v>
      </c>
    </row>
    <row r="27" spans="1:29" s="7" customFormat="1" ht="33.75" customHeight="1" thickBot="1">
      <c r="A27" s="456"/>
      <c r="B27" s="482"/>
      <c r="C27" s="15"/>
      <c r="D27" s="274" t="s">
        <v>105</v>
      </c>
      <c r="E27" s="277"/>
      <c r="F27" s="278"/>
      <c r="G27" s="278"/>
      <c r="H27" s="276"/>
      <c r="I27" s="276"/>
      <c r="J27" s="276"/>
      <c r="K27" s="276"/>
      <c r="L27" s="276"/>
      <c r="M27" s="276"/>
      <c r="N27" s="276"/>
      <c r="O27" s="276"/>
      <c r="P27" s="276"/>
      <c r="Q27" s="276"/>
      <c r="R27" s="276"/>
      <c r="S27" s="276"/>
      <c r="T27" s="276"/>
      <c r="U27" s="276"/>
      <c r="V27" s="276"/>
      <c r="W27" s="276"/>
      <c r="X27" s="279"/>
      <c r="Y27" s="276"/>
      <c r="Z27" s="276"/>
      <c r="AA27" s="276"/>
      <c r="AB27" s="197"/>
      <c r="AC27" s="454"/>
    </row>
    <row r="28" spans="1:29" s="7" customFormat="1" ht="33.75" customHeight="1">
      <c r="A28" s="464">
        <v>10</v>
      </c>
      <c r="B28" s="481"/>
      <c r="C28" s="13"/>
      <c r="D28" s="273" t="s">
        <v>177</v>
      </c>
      <c r="E28" s="216"/>
      <c r="F28" s="217"/>
      <c r="G28" s="217"/>
      <c r="H28" s="218"/>
      <c r="I28" s="218"/>
      <c r="J28" s="218"/>
      <c r="K28" s="218"/>
      <c r="L28" s="218"/>
      <c r="M28" s="218"/>
      <c r="N28" s="218"/>
      <c r="O28" s="218"/>
      <c r="P28" s="218"/>
      <c r="Q28" s="218"/>
      <c r="R28" s="218"/>
      <c r="S28" s="218"/>
      <c r="T28" s="218"/>
      <c r="U28" s="218"/>
      <c r="V28" s="218"/>
      <c r="W28" s="218"/>
      <c r="X28" s="221"/>
      <c r="Y28" s="218"/>
      <c r="Z28" s="218"/>
      <c r="AA28" s="218"/>
      <c r="AB28" s="196"/>
      <c r="AC28" s="453">
        <f t="shared" ref="AC28" si="6">SUM($E29:$G29)-SUM($I29:$AA29)+$AC26</f>
        <v>0</v>
      </c>
    </row>
    <row r="29" spans="1:29" s="7" customFormat="1" ht="33.75" customHeight="1" thickBot="1">
      <c r="A29" s="450"/>
      <c r="B29" s="482"/>
      <c r="C29" s="15"/>
      <c r="D29" s="274" t="s">
        <v>105</v>
      </c>
      <c r="E29" s="277"/>
      <c r="F29" s="278"/>
      <c r="G29" s="278"/>
      <c r="H29" s="276"/>
      <c r="I29" s="276"/>
      <c r="J29" s="276"/>
      <c r="K29" s="276"/>
      <c r="L29" s="276"/>
      <c r="M29" s="276"/>
      <c r="N29" s="276"/>
      <c r="O29" s="276"/>
      <c r="P29" s="276"/>
      <c r="Q29" s="276"/>
      <c r="R29" s="276"/>
      <c r="S29" s="276"/>
      <c r="T29" s="276"/>
      <c r="U29" s="276"/>
      <c r="V29" s="276"/>
      <c r="W29" s="276"/>
      <c r="X29" s="279"/>
      <c r="Y29" s="276"/>
      <c r="Z29" s="276"/>
      <c r="AA29" s="276"/>
      <c r="AB29" s="197"/>
      <c r="AC29" s="454"/>
    </row>
    <row r="30" spans="1:29" s="7" customFormat="1" ht="33.75" customHeight="1">
      <c r="A30" s="455">
        <v>11</v>
      </c>
      <c r="B30" s="481"/>
      <c r="C30" s="13"/>
      <c r="D30" s="273" t="s">
        <v>177</v>
      </c>
      <c r="E30" s="216"/>
      <c r="F30" s="217"/>
      <c r="G30" s="217"/>
      <c r="H30" s="218"/>
      <c r="I30" s="218"/>
      <c r="J30" s="218"/>
      <c r="K30" s="218"/>
      <c r="L30" s="218"/>
      <c r="M30" s="218"/>
      <c r="N30" s="218"/>
      <c r="O30" s="218"/>
      <c r="P30" s="218"/>
      <c r="Q30" s="218"/>
      <c r="R30" s="218"/>
      <c r="S30" s="218"/>
      <c r="T30" s="218"/>
      <c r="U30" s="218"/>
      <c r="V30" s="218"/>
      <c r="W30" s="218"/>
      <c r="X30" s="221"/>
      <c r="Y30" s="218"/>
      <c r="Z30" s="218"/>
      <c r="AA30" s="218"/>
      <c r="AB30" s="196"/>
      <c r="AC30" s="453">
        <f t="shared" ref="AC30" si="7">SUM($E31:$G31)-SUM($I31:$AA31)+$AC28</f>
        <v>0</v>
      </c>
    </row>
    <row r="31" spans="1:29" s="7" customFormat="1" ht="33.75" customHeight="1" thickBot="1">
      <c r="A31" s="456"/>
      <c r="B31" s="482"/>
      <c r="C31" s="15"/>
      <c r="D31" s="274" t="s">
        <v>105</v>
      </c>
      <c r="E31" s="277"/>
      <c r="F31" s="278"/>
      <c r="G31" s="278"/>
      <c r="H31" s="276"/>
      <c r="I31" s="276"/>
      <c r="J31" s="276"/>
      <c r="K31" s="276"/>
      <c r="L31" s="276"/>
      <c r="M31" s="276"/>
      <c r="N31" s="276"/>
      <c r="O31" s="276"/>
      <c r="P31" s="276"/>
      <c r="Q31" s="276"/>
      <c r="R31" s="276"/>
      <c r="S31" s="276"/>
      <c r="T31" s="276"/>
      <c r="U31" s="276"/>
      <c r="V31" s="276"/>
      <c r="W31" s="276"/>
      <c r="X31" s="279"/>
      <c r="Y31" s="276"/>
      <c r="Z31" s="276"/>
      <c r="AA31" s="276"/>
      <c r="AB31" s="197"/>
      <c r="AC31" s="454"/>
    </row>
    <row r="32" spans="1:29" s="7" customFormat="1" ht="33.75" customHeight="1">
      <c r="A32" s="464">
        <v>12</v>
      </c>
      <c r="B32" s="481"/>
      <c r="C32" s="13"/>
      <c r="D32" s="273" t="s">
        <v>177</v>
      </c>
      <c r="E32" s="216"/>
      <c r="F32" s="217"/>
      <c r="G32" s="217"/>
      <c r="H32" s="218"/>
      <c r="I32" s="218"/>
      <c r="J32" s="218"/>
      <c r="K32" s="218"/>
      <c r="L32" s="218"/>
      <c r="M32" s="218"/>
      <c r="N32" s="218"/>
      <c r="O32" s="218"/>
      <c r="P32" s="218"/>
      <c r="Q32" s="218"/>
      <c r="R32" s="218"/>
      <c r="S32" s="218"/>
      <c r="T32" s="218"/>
      <c r="U32" s="218"/>
      <c r="V32" s="218"/>
      <c r="W32" s="218"/>
      <c r="X32" s="221"/>
      <c r="Y32" s="218"/>
      <c r="Z32" s="218"/>
      <c r="AA32" s="218"/>
      <c r="AB32" s="196"/>
      <c r="AC32" s="453">
        <f t="shared" ref="AC32" si="8">SUM($E33:$G33)-SUM($I33:$AA33)+$AC30</f>
        <v>0</v>
      </c>
    </row>
    <row r="33" spans="1:29" s="7" customFormat="1" ht="33.75" customHeight="1" thickBot="1">
      <c r="A33" s="450"/>
      <c r="B33" s="482"/>
      <c r="C33" s="15"/>
      <c r="D33" s="274" t="s">
        <v>105</v>
      </c>
      <c r="E33" s="277"/>
      <c r="F33" s="278"/>
      <c r="G33" s="278"/>
      <c r="H33" s="276"/>
      <c r="I33" s="276"/>
      <c r="J33" s="276"/>
      <c r="K33" s="276"/>
      <c r="L33" s="276"/>
      <c r="M33" s="276"/>
      <c r="N33" s="276"/>
      <c r="O33" s="276"/>
      <c r="P33" s="276"/>
      <c r="Q33" s="276"/>
      <c r="R33" s="276"/>
      <c r="S33" s="276"/>
      <c r="T33" s="276"/>
      <c r="U33" s="276"/>
      <c r="V33" s="276"/>
      <c r="W33" s="276"/>
      <c r="X33" s="279"/>
      <c r="Y33" s="276"/>
      <c r="Z33" s="276"/>
      <c r="AA33" s="276"/>
      <c r="AB33" s="197"/>
      <c r="AC33" s="454"/>
    </row>
    <row r="34" spans="1:29" s="7" customFormat="1" ht="33.75" customHeight="1">
      <c r="A34" s="455">
        <v>13</v>
      </c>
      <c r="B34" s="481"/>
      <c r="C34" s="13"/>
      <c r="D34" s="273" t="s">
        <v>177</v>
      </c>
      <c r="E34" s="216"/>
      <c r="F34" s="217"/>
      <c r="G34" s="217"/>
      <c r="H34" s="218"/>
      <c r="I34" s="218"/>
      <c r="J34" s="218"/>
      <c r="K34" s="218"/>
      <c r="L34" s="218"/>
      <c r="M34" s="218"/>
      <c r="N34" s="218"/>
      <c r="O34" s="218"/>
      <c r="P34" s="218"/>
      <c r="Q34" s="218"/>
      <c r="R34" s="218"/>
      <c r="S34" s="218"/>
      <c r="T34" s="218"/>
      <c r="U34" s="218"/>
      <c r="V34" s="218"/>
      <c r="W34" s="218"/>
      <c r="X34" s="221"/>
      <c r="Y34" s="218"/>
      <c r="Z34" s="218"/>
      <c r="AA34" s="218"/>
      <c r="AB34" s="196"/>
      <c r="AC34" s="453">
        <f>SUM($E35:$G35)-SUM($I35:$AA35)+$AC32</f>
        <v>0</v>
      </c>
    </row>
    <row r="35" spans="1:29" s="7" customFormat="1" ht="33.75" customHeight="1" thickBot="1">
      <c r="A35" s="456"/>
      <c r="B35" s="482"/>
      <c r="C35" s="15"/>
      <c r="D35" s="274" t="s">
        <v>105</v>
      </c>
      <c r="E35" s="277"/>
      <c r="F35" s="278"/>
      <c r="G35" s="278"/>
      <c r="H35" s="276"/>
      <c r="I35" s="276"/>
      <c r="J35" s="276"/>
      <c r="K35" s="276"/>
      <c r="L35" s="276"/>
      <c r="M35" s="276"/>
      <c r="N35" s="276"/>
      <c r="O35" s="276"/>
      <c r="P35" s="276"/>
      <c r="Q35" s="276"/>
      <c r="R35" s="276"/>
      <c r="S35" s="276"/>
      <c r="T35" s="276"/>
      <c r="U35" s="276"/>
      <c r="V35" s="276"/>
      <c r="W35" s="276"/>
      <c r="X35" s="279"/>
      <c r="Y35" s="276"/>
      <c r="Z35" s="276"/>
      <c r="AA35" s="276"/>
      <c r="AB35" s="197"/>
      <c r="AC35" s="454"/>
    </row>
    <row r="36" spans="1:29" s="7" customFormat="1" ht="33.75" customHeight="1">
      <c r="A36" s="464">
        <v>14</v>
      </c>
      <c r="B36" s="481"/>
      <c r="C36" s="13"/>
      <c r="D36" s="273" t="s">
        <v>177</v>
      </c>
      <c r="E36" s="216"/>
      <c r="F36" s="217"/>
      <c r="G36" s="217"/>
      <c r="H36" s="218"/>
      <c r="I36" s="218"/>
      <c r="J36" s="218"/>
      <c r="K36" s="218"/>
      <c r="L36" s="218"/>
      <c r="M36" s="218"/>
      <c r="N36" s="218"/>
      <c r="O36" s="218"/>
      <c r="P36" s="218"/>
      <c r="Q36" s="218"/>
      <c r="R36" s="218"/>
      <c r="S36" s="218"/>
      <c r="T36" s="218"/>
      <c r="U36" s="218"/>
      <c r="V36" s="218"/>
      <c r="W36" s="218"/>
      <c r="X36" s="221"/>
      <c r="Y36" s="218"/>
      <c r="Z36" s="218"/>
      <c r="AA36" s="218"/>
      <c r="AB36" s="196"/>
      <c r="AC36" s="453">
        <f t="shared" ref="AC36" si="9">SUM($E37:$G37)-SUM($I37:$AA37)+$AC34</f>
        <v>0</v>
      </c>
    </row>
    <row r="37" spans="1:29" s="7" customFormat="1" ht="33.75" customHeight="1" thickBot="1">
      <c r="A37" s="449"/>
      <c r="B37" s="483"/>
      <c r="C37" s="15"/>
      <c r="D37" s="199" t="s">
        <v>105</v>
      </c>
      <c r="E37" s="280"/>
      <c r="F37" s="281"/>
      <c r="G37" s="281"/>
      <c r="H37" s="282"/>
      <c r="I37" s="282"/>
      <c r="J37" s="282"/>
      <c r="K37" s="282"/>
      <c r="L37" s="282"/>
      <c r="M37" s="282"/>
      <c r="N37" s="282"/>
      <c r="O37" s="282"/>
      <c r="P37" s="282"/>
      <c r="Q37" s="282"/>
      <c r="R37" s="282"/>
      <c r="S37" s="282"/>
      <c r="T37" s="282"/>
      <c r="U37" s="282"/>
      <c r="V37" s="282"/>
      <c r="W37" s="282"/>
      <c r="X37" s="283"/>
      <c r="Y37" s="282"/>
      <c r="Z37" s="282"/>
      <c r="AA37" s="282"/>
      <c r="AB37" s="194"/>
      <c r="AC37" s="465"/>
    </row>
    <row r="38" spans="1:29" s="7" customFormat="1" ht="33.75" customHeight="1">
      <c r="A38" s="455">
        <v>15</v>
      </c>
      <c r="B38" s="479"/>
      <c r="C38" s="13"/>
      <c r="D38" s="273" t="s">
        <v>177</v>
      </c>
      <c r="E38" s="216"/>
      <c r="F38" s="217"/>
      <c r="G38" s="217"/>
      <c r="H38" s="218"/>
      <c r="I38" s="218"/>
      <c r="J38" s="218"/>
      <c r="K38" s="218"/>
      <c r="L38" s="218"/>
      <c r="M38" s="218"/>
      <c r="N38" s="218"/>
      <c r="O38" s="218"/>
      <c r="P38" s="218"/>
      <c r="Q38" s="218"/>
      <c r="R38" s="218"/>
      <c r="S38" s="218"/>
      <c r="T38" s="218"/>
      <c r="U38" s="218"/>
      <c r="V38" s="218"/>
      <c r="W38" s="218"/>
      <c r="X38" s="221"/>
      <c r="Y38" s="218"/>
      <c r="Z38" s="218"/>
      <c r="AA38" s="218"/>
      <c r="AB38" s="190"/>
      <c r="AC38" s="453">
        <f t="shared" ref="AC38" si="10">SUM($E39:$G39)-SUM($I39:$AA39)+$AC36</f>
        <v>0</v>
      </c>
    </row>
    <row r="39" spans="1:29" s="7" customFormat="1" ht="33.75" customHeight="1" thickBot="1">
      <c r="A39" s="459"/>
      <c r="B39" s="480"/>
      <c r="C39" s="15"/>
      <c r="D39" s="274" t="s">
        <v>105</v>
      </c>
      <c r="E39" s="277"/>
      <c r="F39" s="278"/>
      <c r="G39" s="278"/>
      <c r="H39" s="276"/>
      <c r="I39" s="276"/>
      <c r="J39" s="276"/>
      <c r="K39" s="276"/>
      <c r="L39" s="276"/>
      <c r="M39" s="276"/>
      <c r="N39" s="276"/>
      <c r="O39" s="276"/>
      <c r="P39" s="276"/>
      <c r="Q39" s="276"/>
      <c r="R39" s="276"/>
      <c r="S39" s="276"/>
      <c r="T39" s="276"/>
      <c r="U39" s="276"/>
      <c r="V39" s="276"/>
      <c r="W39" s="276"/>
      <c r="X39" s="279"/>
      <c r="Y39" s="276"/>
      <c r="Z39" s="276"/>
      <c r="AA39" s="276"/>
      <c r="AB39" s="191"/>
      <c r="AC39" s="454"/>
    </row>
    <row r="40" spans="1:29" s="7" customFormat="1" ht="33.75" customHeight="1">
      <c r="A40" s="466">
        <v>16</v>
      </c>
      <c r="B40" s="479"/>
      <c r="C40" s="13"/>
      <c r="D40" s="273" t="s">
        <v>177</v>
      </c>
      <c r="E40" s="216"/>
      <c r="F40" s="217"/>
      <c r="G40" s="217"/>
      <c r="H40" s="218"/>
      <c r="I40" s="218"/>
      <c r="J40" s="218"/>
      <c r="K40" s="218"/>
      <c r="L40" s="218"/>
      <c r="M40" s="218"/>
      <c r="N40" s="218"/>
      <c r="O40" s="218"/>
      <c r="P40" s="218"/>
      <c r="Q40" s="218"/>
      <c r="R40" s="218"/>
      <c r="S40" s="218"/>
      <c r="T40" s="218"/>
      <c r="U40" s="218"/>
      <c r="V40" s="218"/>
      <c r="W40" s="218"/>
      <c r="X40" s="221"/>
      <c r="Y40" s="218"/>
      <c r="Z40" s="218"/>
      <c r="AA40" s="218"/>
      <c r="AB40" s="190"/>
      <c r="AC40" s="453">
        <f t="shared" ref="AC40" si="11">SUM($E41:$G41)-SUM($I41:$AA41)+$AC38</f>
        <v>0</v>
      </c>
    </row>
    <row r="41" spans="1:29" s="7" customFormat="1" ht="33.75" customHeight="1" thickBot="1">
      <c r="A41" s="467"/>
      <c r="B41" s="480"/>
      <c r="C41" s="15"/>
      <c r="D41" s="274" t="s">
        <v>105</v>
      </c>
      <c r="E41" s="277"/>
      <c r="F41" s="278"/>
      <c r="G41" s="278"/>
      <c r="H41" s="276"/>
      <c r="I41" s="276"/>
      <c r="J41" s="276"/>
      <c r="K41" s="276"/>
      <c r="L41" s="276"/>
      <c r="M41" s="276"/>
      <c r="N41" s="276"/>
      <c r="O41" s="276"/>
      <c r="P41" s="276"/>
      <c r="Q41" s="276"/>
      <c r="R41" s="276"/>
      <c r="S41" s="276"/>
      <c r="T41" s="276"/>
      <c r="U41" s="276"/>
      <c r="V41" s="276"/>
      <c r="W41" s="276"/>
      <c r="X41" s="279"/>
      <c r="Y41" s="276"/>
      <c r="Z41" s="276"/>
      <c r="AA41" s="276"/>
      <c r="AB41" s="191"/>
      <c r="AC41" s="454"/>
    </row>
    <row r="42" spans="1:29" s="7" customFormat="1" ht="33.75" customHeight="1">
      <c r="A42" s="468">
        <v>17</v>
      </c>
      <c r="B42" s="483"/>
      <c r="C42" s="13"/>
      <c r="D42" s="275" t="s">
        <v>177</v>
      </c>
      <c r="E42" s="222"/>
      <c r="F42" s="223"/>
      <c r="G42" s="223"/>
      <c r="H42" s="224"/>
      <c r="I42" s="224"/>
      <c r="J42" s="224"/>
      <c r="K42" s="224"/>
      <c r="L42" s="224"/>
      <c r="M42" s="224"/>
      <c r="N42" s="224"/>
      <c r="O42" s="224"/>
      <c r="P42" s="224"/>
      <c r="Q42" s="224"/>
      <c r="R42" s="224"/>
      <c r="S42" s="224"/>
      <c r="T42" s="224"/>
      <c r="U42" s="224"/>
      <c r="V42" s="224"/>
      <c r="W42" s="224"/>
      <c r="X42" s="224"/>
      <c r="Y42" s="224"/>
      <c r="Z42" s="224"/>
      <c r="AA42" s="224"/>
      <c r="AB42" s="195"/>
      <c r="AC42" s="453">
        <f t="shared" ref="AC42" si="12">SUM($E43:$G43)-SUM($I43:$AA43)+$AC40</f>
        <v>0</v>
      </c>
    </row>
    <row r="43" spans="1:29" s="7" customFormat="1" ht="33.75" customHeight="1" thickBot="1">
      <c r="A43" s="459"/>
      <c r="B43" s="482"/>
      <c r="C43" s="15"/>
      <c r="D43" s="274" t="s">
        <v>105</v>
      </c>
      <c r="E43" s="277"/>
      <c r="F43" s="278"/>
      <c r="G43" s="278"/>
      <c r="H43" s="276"/>
      <c r="I43" s="276"/>
      <c r="J43" s="276"/>
      <c r="K43" s="276"/>
      <c r="L43" s="276"/>
      <c r="M43" s="276"/>
      <c r="N43" s="276"/>
      <c r="O43" s="276"/>
      <c r="P43" s="276"/>
      <c r="Q43" s="276"/>
      <c r="R43" s="276"/>
      <c r="S43" s="276"/>
      <c r="T43" s="276"/>
      <c r="U43" s="276"/>
      <c r="V43" s="276"/>
      <c r="W43" s="276"/>
      <c r="X43" s="276"/>
      <c r="Y43" s="276"/>
      <c r="Z43" s="276"/>
      <c r="AA43" s="276"/>
      <c r="AB43" s="197"/>
      <c r="AC43" s="454"/>
    </row>
    <row r="44" spans="1:29" s="7" customFormat="1" ht="33.75" customHeight="1">
      <c r="A44" s="455">
        <v>18</v>
      </c>
      <c r="B44" s="481"/>
      <c r="C44" s="13"/>
      <c r="D44" s="273" t="s">
        <v>177</v>
      </c>
      <c r="E44" s="216"/>
      <c r="F44" s="217"/>
      <c r="G44" s="217"/>
      <c r="H44" s="218"/>
      <c r="I44" s="218"/>
      <c r="J44" s="218"/>
      <c r="K44" s="218"/>
      <c r="L44" s="218"/>
      <c r="M44" s="218"/>
      <c r="N44" s="218"/>
      <c r="O44" s="218"/>
      <c r="P44" s="218"/>
      <c r="Q44" s="218"/>
      <c r="R44" s="218"/>
      <c r="S44" s="218"/>
      <c r="T44" s="218"/>
      <c r="U44" s="218"/>
      <c r="V44" s="218"/>
      <c r="W44" s="218"/>
      <c r="X44" s="218"/>
      <c r="Y44" s="218"/>
      <c r="Z44" s="218"/>
      <c r="AA44" s="218"/>
      <c r="AB44" s="196"/>
      <c r="AC44" s="453">
        <f t="shared" ref="AC44" si="13">SUM($E45:$G45)-SUM($I45:$AA45)+$AC42</f>
        <v>0</v>
      </c>
    </row>
    <row r="45" spans="1:29" s="7" customFormat="1" ht="33.75" customHeight="1" thickBot="1">
      <c r="A45" s="459"/>
      <c r="B45" s="482"/>
      <c r="C45" s="15"/>
      <c r="D45" s="274" t="s">
        <v>105</v>
      </c>
      <c r="E45" s="277"/>
      <c r="F45" s="278"/>
      <c r="G45" s="278"/>
      <c r="H45" s="276"/>
      <c r="I45" s="276"/>
      <c r="J45" s="276"/>
      <c r="K45" s="276"/>
      <c r="L45" s="276"/>
      <c r="M45" s="276"/>
      <c r="N45" s="276"/>
      <c r="O45" s="276"/>
      <c r="P45" s="276"/>
      <c r="Q45" s="276"/>
      <c r="R45" s="276"/>
      <c r="S45" s="276"/>
      <c r="T45" s="276"/>
      <c r="U45" s="276"/>
      <c r="V45" s="276"/>
      <c r="W45" s="276"/>
      <c r="X45" s="276"/>
      <c r="Y45" s="276"/>
      <c r="Z45" s="276"/>
      <c r="AA45" s="276"/>
      <c r="AB45" s="197"/>
      <c r="AC45" s="454"/>
    </row>
    <row r="46" spans="1:29" s="7" customFormat="1" ht="33.75" customHeight="1">
      <c r="A46" s="455">
        <v>19</v>
      </c>
      <c r="B46" s="481"/>
      <c r="C46" s="13"/>
      <c r="D46" s="273" t="s">
        <v>177</v>
      </c>
      <c r="E46" s="216"/>
      <c r="F46" s="217"/>
      <c r="G46" s="217"/>
      <c r="H46" s="218"/>
      <c r="I46" s="218"/>
      <c r="J46" s="218"/>
      <c r="K46" s="218"/>
      <c r="L46" s="218"/>
      <c r="M46" s="218"/>
      <c r="N46" s="218"/>
      <c r="O46" s="218"/>
      <c r="P46" s="218"/>
      <c r="Q46" s="218"/>
      <c r="R46" s="218"/>
      <c r="S46" s="218"/>
      <c r="T46" s="218"/>
      <c r="U46" s="218"/>
      <c r="V46" s="218"/>
      <c r="W46" s="218"/>
      <c r="X46" s="218"/>
      <c r="Y46" s="218"/>
      <c r="Z46" s="218"/>
      <c r="AA46" s="218"/>
      <c r="AB46" s="196"/>
      <c r="AC46" s="453">
        <f t="shared" ref="AC46" si="14">SUM($E47:$G47)-SUM($I47:$AA47)+$AC44</f>
        <v>0</v>
      </c>
    </row>
    <row r="47" spans="1:29" s="7" customFormat="1" ht="33.75" customHeight="1" thickBot="1">
      <c r="A47" s="459"/>
      <c r="B47" s="482"/>
      <c r="C47" s="15"/>
      <c r="D47" s="274" t="s">
        <v>105</v>
      </c>
      <c r="E47" s="277"/>
      <c r="F47" s="278"/>
      <c r="G47" s="278"/>
      <c r="H47" s="276"/>
      <c r="I47" s="276"/>
      <c r="J47" s="276"/>
      <c r="K47" s="276"/>
      <c r="L47" s="276"/>
      <c r="M47" s="276"/>
      <c r="N47" s="276"/>
      <c r="O47" s="276"/>
      <c r="P47" s="276"/>
      <c r="Q47" s="276"/>
      <c r="R47" s="276"/>
      <c r="S47" s="276"/>
      <c r="T47" s="276"/>
      <c r="U47" s="276"/>
      <c r="V47" s="276"/>
      <c r="W47" s="276"/>
      <c r="X47" s="276"/>
      <c r="Y47" s="276"/>
      <c r="Z47" s="276"/>
      <c r="AA47" s="276"/>
      <c r="AB47" s="197"/>
      <c r="AC47" s="454"/>
    </row>
    <row r="48" spans="1:29" s="7" customFormat="1" ht="33.75" customHeight="1">
      <c r="A48" s="455">
        <v>20</v>
      </c>
      <c r="B48" s="481"/>
      <c r="C48" s="13"/>
      <c r="D48" s="273" t="s">
        <v>177</v>
      </c>
      <c r="E48" s="216"/>
      <c r="F48" s="217"/>
      <c r="G48" s="217"/>
      <c r="H48" s="218"/>
      <c r="I48" s="218"/>
      <c r="J48" s="218"/>
      <c r="K48" s="218"/>
      <c r="L48" s="218"/>
      <c r="M48" s="218"/>
      <c r="N48" s="218"/>
      <c r="O48" s="218"/>
      <c r="P48" s="218"/>
      <c r="Q48" s="218"/>
      <c r="R48" s="218"/>
      <c r="S48" s="218"/>
      <c r="T48" s="218"/>
      <c r="U48" s="218"/>
      <c r="V48" s="218"/>
      <c r="W48" s="218"/>
      <c r="X48" s="218"/>
      <c r="Y48" s="218"/>
      <c r="Z48" s="218"/>
      <c r="AA48" s="218"/>
      <c r="AB48" s="196"/>
      <c r="AC48" s="453">
        <f t="shared" ref="AC48" si="15">SUM($E49:$G49)-SUM($I49:$AA49)+$AC46</f>
        <v>0</v>
      </c>
    </row>
    <row r="49" spans="1:29" s="7" customFormat="1" ht="33.75" customHeight="1" thickBot="1">
      <c r="A49" s="459"/>
      <c r="B49" s="482"/>
      <c r="C49" s="15"/>
      <c r="D49" s="274" t="s">
        <v>105</v>
      </c>
      <c r="E49" s="277"/>
      <c r="F49" s="278"/>
      <c r="G49" s="278"/>
      <c r="H49" s="276"/>
      <c r="I49" s="276"/>
      <c r="J49" s="276"/>
      <c r="K49" s="276"/>
      <c r="L49" s="276"/>
      <c r="M49" s="276"/>
      <c r="N49" s="276"/>
      <c r="O49" s="276"/>
      <c r="P49" s="276"/>
      <c r="Q49" s="276"/>
      <c r="R49" s="276"/>
      <c r="S49" s="276"/>
      <c r="T49" s="276"/>
      <c r="U49" s="276"/>
      <c r="V49" s="276"/>
      <c r="W49" s="276"/>
      <c r="X49" s="276"/>
      <c r="Y49" s="276"/>
      <c r="Z49" s="276"/>
      <c r="AA49" s="276"/>
      <c r="AB49" s="197"/>
      <c r="AC49" s="454"/>
    </row>
    <row r="50" spans="1:29" s="7" customFormat="1" ht="33.75" customHeight="1">
      <c r="A50" s="455">
        <v>21</v>
      </c>
      <c r="B50" s="481"/>
      <c r="C50" s="13"/>
      <c r="D50" s="273" t="s">
        <v>177</v>
      </c>
      <c r="E50" s="216"/>
      <c r="F50" s="217"/>
      <c r="G50" s="217"/>
      <c r="H50" s="218"/>
      <c r="I50" s="218"/>
      <c r="J50" s="218"/>
      <c r="K50" s="218"/>
      <c r="L50" s="218"/>
      <c r="M50" s="218"/>
      <c r="N50" s="218"/>
      <c r="O50" s="218"/>
      <c r="P50" s="218"/>
      <c r="Q50" s="218"/>
      <c r="R50" s="218"/>
      <c r="S50" s="218"/>
      <c r="T50" s="218"/>
      <c r="U50" s="218"/>
      <c r="V50" s="218"/>
      <c r="W50" s="218"/>
      <c r="X50" s="218"/>
      <c r="Y50" s="218"/>
      <c r="Z50" s="218"/>
      <c r="AA50" s="218"/>
      <c r="AB50" s="196"/>
      <c r="AC50" s="453">
        <f t="shared" ref="AC50" si="16">SUM($E51:$G51)-SUM($I51:$AA51)+$AC48</f>
        <v>0</v>
      </c>
    </row>
    <row r="51" spans="1:29" s="7" customFormat="1" ht="33.75" customHeight="1" thickBot="1">
      <c r="A51" s="459"/>
      <c r="B51" s="482"/>
      <c r="C51" s="15"/>
      <c r="D51" s="274" t="s">
        <v>105</v>
      </c>
      <c r="E51" s="277"/>
      <c r="F51" s="278"/>
      <c r="G51" s="278"/>
      <c r="H51" s="276"/>
      <c r="I51" s="276"/>
      <c r="J51" s="276"/>
      <c r="K51" s="276"/>
      <c r="L51" s="276"/>
      <c r="M51" s="276"/>
      <c r="N51" s="276"/>
      <c r="O51" s="276"/>
      <c r="P51" s="276"/>
      <c r="Q51" s="276"/>
      <c r="R51" s="276"/>
      <c r="S51" s="276"/>
      <c r="T51" s="276"/>
      <c r="U51" s="276"/>
      <c r="V51" s="276"/>
      <c r="W51" s="276"/>
      <c r="X51" s="276"/>
      <c r="Y51" s="276"/>
      <c r="Z51" s="276"/>
      <c r="AA51" s="276"/>
      <c r="AB51" s="197"/>
      <c r="AC51" s="454"/>
    </row>
    <row r="52" spans="1:29" s="7" customFormat="1" ht="33.75" customHeight="1">
      <c r="A52" s="455">
        <v>22</v>
      </c>
      <c r="B52" s="481"/>
      <c r="C52" s="13"/>
      <c r="D52" s="273" t="s">
        <v>177</v>
      </c>
      <c r="E52" s="216"/>
      <c r="F52" s="217"/>
      <c r="G52" s="217"/>
      <c r="H52" s="218"/>
      <c r="I52" s="218"/>
      <c r="J52" s="218"/>
      <c r="K52" s="218"/>
      <c r="L52" s="218"/>
      <c r="M52" s="218"/>
      <c r="N52" s="218"/>
      <c r="O52" s="218"/>
      <c r="P52" s="218"/>
      <c r="Q52" s="218"/>
      <c r="R52" s="218"/>
      <c r="S52" s="218"/>
      <c r="T52" s="218"/>
      <c r="U52" s="218"/>
      <c r="V52" s="218"/>
      <c r="W52" s="218"/>
      <c r="X52" s="218"/>
      <c r="Y52" s="218"/>
      <c r="Z52" s="218"/>
      <c r="AA52" s="218"/>
      <c r="AB52" s="196"/>
      <c r="AC52" s="453">
        <f t="shared" ref="AC52" si="17">SUM($E53:$G53)-SUM($I53:$AA53)+$AC50</f>
        <v>0</v>
      </c>
    </row>
    <row r="53" spans="1:29" s="7" customFormat="1" ht="33.75" customHeight="1" thickBot="1">
      <c r="A53" s="459"/>
      <c r="B53" s="482"/>
      <c r="C53" s="15"/>
      <c r="D53" s="274" t="s">
        <v>105</v>
      </c>
      <c r="E53" s="277"/>
      <c r="F53" s="278"/>
      <c r="G53" s="278"/>
      <c r="H53" s="276"/>
      <c r="I53" s="276"/>
      <c r="J53" s="276"/>
      <c r="K53" s="276"/>
      <c r="L53" s="276"/>
      <c r="M53" s="276"/>
      <c r="N53" s="276"/>
      <c r="O53" s="276"/>
      <c r="P53" s="276"/>
      <c r="Q53" s="276"/>
      <c r="R53" s="276"/>
      <c r="S53" s="276"/>
      <c r="T53" s="276"/>
      <c r="U53" s="276"/>
      <c r="V53" s="276"/>
      <c r="W53" s="276"/>
      <c r="X53" s="276"/>
      <c r="Y53" s="276"/>
      <c r="Z53" s="276"/>
      <c r="AA53" s="276"/>
      <c r="AB53" s="197"/>
      <c r="AC53" s="454"/>
    </row>
    <row r="54" spans="1:29" s="7" customFormat="1" ht="33.75" customHeight="1">
      <c r="A54" s="455">
        <v>23</v>
      </c>
      <c r="B54" s="481"/>
      <c r="C54" s="13"/>
      <c r="D54" s="273" t="s">
        <v>177</v>
      </c>
      <c r="E54" s="216"/>
      <c r="F54" s="217"/>
      <c r="G54" s="217"/>
      <c r="H54" s="218"/>
      <c r="I54" s="218"/>
      <c r="J54" s="218"/>
      <c r="K54" s="218"/>
      <c r="L54" s="218"/>
      <c r="M54" s="218"/>
      <c r="N54" s="218"/>
      <c r="O54" s="218"/>
      <c r="P54" s="218"/>
      <c r="Q54" s="218"/>
      <c r="R54" s="218"/>
      <c r="S54" s="218"/>
      <c r="T54" s="218"/>
      <c r="U54" s="218"/>
      <c r="V54" s="218"/>
      <c r="W54" s="218"/>
      <c r="X54" s="218"/>
      <c r="Y54" s="218"/>
      <c r="Z54" s="218"/>
      <c r="AA54" s="218"/>
      <c r="AB54" s="196"/>
      <c r="AC54" s="453">
        <f t="shared" ref="AC54" si="18">SUM($E55:$G55)-SUM($I55:$AA55)+$AC52</f>
        <v>0</v>
      </c>
    </row>
    <row r="55" spans="1:29" s="7" customFormat="1" ht="33.75" customHeight="1" thickBot="1">
      <c r="A55" s="459"/>
      <c r="B55" s="482"/>
      <c r="C55" s="15"/>
      <c r="D55" s="274" t="s">
        <v>105</v>
      </c>
      <c r="E55" s="277"/>
      <c r="F55" s="278"/>
      <c r="G55" s="278"/>
      <c r="H55" s="276"/>
      <c r="I55" s="276"/>
      <c r="J55" s="276"/>
      <c r="K55" s="276"/>
      <c r="L55" s="276"/>
      <c r="M55" s="276"/>
      <c r="N55" s="276"/>
      <c r="O55" s="276"/>
      <c r="P55" s="276"/>
      <c r="Q55" s="276"/>
      <c r="R55" s="276"/>
      <c r="S55" s="276"/>
      <c r="T55" s="276"/>
      <c r="U55" s="276"/>
      <c r="V55" s="276"/>
      <c r="W55" s="276"/>
      <c r="X55" s="276"/>
      <c r="Y55" s="276"/>
      <c r="Z55" s="276"/>
      <c r="AA55" s="276"/>
      <c r="AB55" s="197"/>
      <c r="AC55" s="454"/>
    </row>
    <row r="56" spans="1:29" s="7" customFormat="1" ht="33.75" customHeight="1">
      <c r="A56" s="455">
        <v>24</v>
      </c>
      <c r="B56" s="481"/>
      <c r="C56" s="13"/>
      <c r="D56" s="273" t="s">
        <v>177</v>
      </c>
      <c r="E56" s="216"/>
      <c r="F56" s="217"/>
      <c r="G56" s="217"/>
      <c r="H56" s="218"/>
      <c r="I56" s="218"/>
      <c r="J56" s="218"/>
      <c r="K56" s="218"/>
      <c r="L56" s="218"/>
      <c r="M56" s="218"/>
      <c r="N56" s="218"/>
      <c r="O56" s="218"/>
      <c r="P56" s="218"/>
      <c r="Q56" s="218"/>
      <c r="R56" s="218"/>
      <c r="S56" s="218"/>
      <c r="T56" s="218"/>
      <c r="U56" s="218"/>
      <c r="V56" s="218"/>
      <c r="W56" s="218"/>
      <c r="X56" s="218"/>
      <c r="Y56" s="218"/>
      <c r="Z56" s="218"/>
      <c r="AA56" s="218"/>
      <c r="AB56" s="196"/>
      <c r="AC56" s="453">
        <f t="shared" ref="AC56" si="19">SUM($E57:$G57)-SUM($I57:$AA57)+$AC54</f>
        <v>0</v>
      </c>
    </row>
    <row r="57" spans="1:29" s="7" customFormat="1" ht="33.75" customHeight="1" thickBot="1">
      <c r="A57" s="459"/>
      <c r="B57" s="482"/>
      <c r="C57" s="15"/>
      <c r="D57" s="274" t="s">
        <v>105</v>
      </c>
      <c r="E57" s="277"/>
      <c r="F57" s="278"/>
      <c r="G57" s="278"/>
      <c r="H57" s="276"/>
      <c r="I57" s="276"/>
      <c r="J57" s="276"/>
      <c r="K57" s="276"/>
      <c r="L57" s="276"/>
      <c r="M57" s="276"/>
      <c r="N57" s="276"/>
      <c r="O57" s="276"/>
      <c r="P57" s="276"/>
      <c r="Q57" s="276"/>
      <c r="R57" s="276"/>
      <c r="S57" s="276"/>
      <c r="T57" s="276"/>
      <c r="U57" s="276"/>
      <c r="V57" s="276"/>
      <c r="W57" s="276"/>
      <c r="X57" s="276"/>
      <c r="Y57" s="276"/>
      <c r="Z57" s="276"/>
      <c r="AA57" s="276"/>
      <c r="AB57" s="197"/>
      <c r="AC57" s="454"/>
    </row>
    <row r="58" spans="1:29" s="7" customFormat="1" ht="33.75" customHeight="1">
      <c r="A58" s="455">
        <v>25</v>
      </c>
      <c r="B58" s="481"/>
      <c r="C58" s="13"/>
      <c r="D58" s="273" t="s">
        <v>177</v>
      </c>
      <c r="E58" s="216"/>
      <c r="F58" s="217"/>
      <c r="G58" s="217"/>
      <c r="H58" s="218"/>
      <c r="I58" s="218"/>
      <c r="J58" s="218"/>
      <c r="K58" s="218"/>
      <c r="L58" s="218"/>
      <c r="M58" s="218"/>
      <c r="N58" s="218"/>
      <c r="O58" s="218"/>
      <c r="P58" s="218"/>
      <c r="Q58" s="218"/>
      <c r="R58" s="218"/>
      <c r="S58" s="218"/>
      <c r="T58" s="218"/>
      <c r="U58" s="218"/>
      <c r="V58" s="218"/>
      <c r="W58" s="218"/>
      <c r="X58" s="218"/>
      <c r="Y58" s="218"/>
      <c r="Z58" s="218"/>
      <c r="AA58" s="218"/>
      <c r="AB58" s="196"/>
      <c r="AC58" s="453">
        <f t="shared" ref="AC58" si="20">SUM($E59:$G59)-SUM($I59:$AA59)+$AC56</f>
        <v>0</v>
      </c>
    </row>
    <row r="59" spans="1:29" s="7" customFormat="1" ht="33.75" customHeight="1" thickBot="1">
      <c r="A59" s="459"/>
      <c r="B59" s="482"/>
      <c r="C59" s="15"/>
      <c r="D59" s="274" t="s">
        <v>105</v>
      </c>
      <c r="E59" s="277"/>
      <c r="F59" s="278"/>
      <c r="G59" s="278"/>
      <c r="H59" s="276"/>
      <c r="I59" s="276"/>
      <c r="J59" s="276"/>
      <c r="K59" s="276"/>
      <c r="L59" s="276"/>
      <c r="M59" s="276"/>
      <c r="N59" s="276"/>
      <c r="O59" s="276"/>
      <c r="P59" s="276"/>
      <c r="Q59" s="276"/>
      <c r="R59" s="276"/>
      <c r="S59" s="276"/>
      <c r="T59" s="276"/>
      <c r="U59" s="276"/>
      <c r="V59" s="276"/>
      <c r="W59" s="276"/>
      <c r="X59" s="276"/>
      <c r="Y59" s="276"/>
      <c r="Z59" s="276"/>
      <c r="AA59" s="276"/>
      <c r="AB59" s="197"/>
      <c r="AC59" s="454"/>
    </row>
    <row r="60" spans="1:29" s="7" customFormat="1" ht="33.75" customHeight="1">
      <c r="A60" s="455">
        <v>26</v>
      </c>
      <c r="B60" s="481"/>
      <c r="C60" s="13"/>
      <c r="D60" s="273" t="s">
        <v>177</v>
      </c>
      <c r="E60" s="216"/>
      <c r="F60" s="217"/>
      <c r="G60" s="217"/>
      <c r="H60" s="218"/>
      <c r="I60" s="218"/>
      <c r="J60" s="218"/>
      <c r="K60" s="218"/>
      <c r="L60" s="218"/>
      <c r="M60" s="218"/>
      <c r="N60" s="218"/>
      <c r="O60" s="218"/>
      <c r="P60" s="218"/>
      <c r="Q60" s="218"/>
      <c r="R60" s="218"/>
      <c r="S60" s="218"/>
      <c r="T60" s="218"/>
      <c r="U60" s="218"/>
      <c r="V60" s="218"/>
      <c r="W60" s="218"/>
      <c r="X60" s="218"/>
      <c r="Y60" s="218"/>
      <c r="Z60" s="218"/>
      <c r="AA60" s="218"/>
      <c r="AB60" s="196"/>
      <c r="AC60" s="453">
        <f t="shared" ref="AC60" si="21">SUM($E61:$G61)-SUM($I61:$AA61)+$AC58</f>
        <v>0</v>
      </c>
    </row>
    <row r="61" spans="1:29" s="7" customFormat="1" ht="33.75" customHeight="1" thickBot="1">
      <c r="A61" s="459"/>
      <c r="B61" s="482"/>
      <c r="C61" s="15"/>
      <c r="D61" s="274" t="s">
        <v>105</v>
      </c>
      <c r="E61" s="277"/>
      <c r="F61" s="278"/>
      <c r="G61" s="278"/>
      <c r="H61" s="220"/>
      <c r="I61" s="276"/>
      <c r="J61" s="276"/>
      <c r="K61" s="276"/>
      <c r="L61" s="276"/>
      <c r="M61" s="276"/>
      <c r="N61" s="276"/>
      <c r="O61" s="276"/>
      <c r="P61" s="276"/>
      <c r="Q61" s="276"/>
      <c r="R61" s="276"/>
      <c r="S61" s="276"/>
      <c r="T61" s="276"/>
      <c r="U61" s="276"/>
      <c r="V61" s="276"/>
      <c r="W61" s="276"/>
      <c r="X61" s="276"/>
      <c r="Y61" s="276"/>
      <c r="Z61" s="276"/>
      <c r="AA61" s="276"/>
      <c r="AB61" s="197"/>
      <c r="AC61" s="454"/>
    </row>
    <row r="62" spans="1:29" s="7" customFormat="1" ht="33.75" customHeight="1">
      <c r="A62" s="455">
        <v>27</v>
      </c>
      <c r="B62" s="481"/>
      <c r="C62" s="13"/>
      <c r="D62" s="273" t="s">
        <v>177</v>
      </c>
      <c r="E62" s="216"/>
      <c r="F62" s="217"/>
      <c r="G62" s="217"/>
      <c r="H62" s="218"/>
      <c r="I62" s="218"/>
      <c r="J62" s="218"/>
      <c r="K62" s="218"/>
      <c r="L62" s="218"/>
      <c r="M62" s="218"/>
      <c r="N62" s="218"/>
      <c r="O62" s="218"/>
      <c r="P62" s="218"/>
      <c r="Q62" s="218"/>
      <c r="R62" s="218"/>
      <c r="S62" s="218"/>
      <c r="T62" s="218"/>
      <c r="U62" s="218"/>
      <c r="V62" s="218"/>
      <c r="W62" s="218"/>
      <c r="X62" s="218"/>
      <c r="Y62" s="218"/>
      <c r="Z62" s="218"/>
      <c r="AA62" s="218"/>
      <c r="AB62" s="196"/>
      <c r="AC62" s="453">
        <f t="shared" ref="AC62" si="22">SUM($E63:$G63)-SUM($I63:$AA63)+$AC60</f>
        <v>0</v>
      </c>
    </row>
    <row r="63" spans="1:29" s="7" customFormat="1" ht="33.75" customHeight="1" thickBot="1">
      <c r="A63" s="459"/>
      <c r="B63" s="482"/>
      <c r="C63" s="15"/>
      <c r="D63" s="274" t="s">
        <v>105</v>
      </c>
      <c r="E63" s="277"/>
      <c r="F63" s="278"/>
      <c r="G63" s="278"/>
      <c r="H63" s="276"/>
      <c r="I63" s="276"/>
      <c r="J63" s="276"/>
      <c r="K63" s="276"/>
      <c r="L63" s="276"/>
      <c r="M63" s="276"/>
      <c r="N63" s="276"/>
      <c r="O63" s="276"/>
      <c r="P63" s="276"/>
      <c r="Q63" s="276"/>
      <c r="R63" s="276"/>
      <c r="S63" s="276"/>
      <c r="T63" s="276"/>
      <c r="U63" s="276"/>
      <c r="V63" s="276"/>
      <c r="W63" s="276"/>
      <c r="X63" s="276"/>
      <c r="Y63" s="276"/>
      <c r="Z63" s="276"/>
      <c r="AA63" s="276"/>
      <c r="AB63" s="197"/>
      <c r="AC63" s="454"/>
    </row>
    <row r="64" spans="1:29" s="7" customFormat="1" ht="33.75" customHeight="1">
      <c r="A64" s="455">
        <v>28</v>
      </c>
      <c r="B64" s="481"/>
      <c r="C64" s="13"/>
      <c r="D64" s="273" t="s">
        <v>177</v>
      </c>
      <c r="E64" s="216"/>
      <c r="F64" s="217"/>
      <c r="G64" s="217"/>
      <c r="H64" s="218"/>
      <c r="I64" s="218"/>
      <c r="J64" s="218"/>
      <c r="K64" s="218"/>
      <c r="L64" s="218"/>
      <c r="M64" s="218"/>
      <c r="N64" s="218"/>
      <c r="O64" s="218"/>
      <c r="P64" s="218"/>
      <c r="Q64" s="218"/>
      <c r="R64" s="218"/>
      <c r="S64" s="218"/>
      <c r="T64" s="218"/>
      <c r="U64" s="218"/>
      <c r="V64" s="218"/>
      <c r="W64" s="218"/>
      <c r="X64" s="218"/>
      <c r="Y64" s="218"/>
      <c r="Z64" s="218"/>
      <c r="AA64" s="218"/>
      <c r="AB64" s="196"/>
      <c r="AC64" s="453">
        <f t="shared" ref="AC64" si="23">SUM($E65:$G65)-SUM($I65:$AA65)+$AC62</f>
        <v>0</v>
      </c>
    </row>
    <row r="65" spans="1:46" s="7" customFormat="1" ht="33.75" customHeight="1" thickBot="1">
      <c r="A65" s="459"/>
      <c r="B65" s="482"/>
      <c r="C65" s="15"/>
      <c r="D65" s="274" t="s">
        <v>105</v>
      </c>
      <c r="E65" s="277"/>
      <c r="F65" s="278"/>
      <c r="G65" s="278"/>
      <c r="H65" s="276"/>
      <c r="I65" s="276"/>
      <c r="J65" s="276"/>
      <c r="K65" s="276"/>
      <c r="L65" s="276"/>
      <c r="M65" s="276"/>
      <c r="N65" s="276"/>
      <c r="O65" s="276"/>
      <c r="P65" s="276"/>
      <c r="Q65" s="276"/>
      <c r="R65" s="276"/>
      <c r="S65" s="276"/>
      <c r="T65" s="276"/>
      <c r="U65" s="276"/>
      <c r="V65" s="276"/>
      <c r="W65" s="276"/>
      <c r="X65" s="276"/>
      <c r="Y65" s="276"/>
      <c r="Z65" s="276"/>
      <c r="AA65" s="276"/>
      <c r="AB65" s="197"/>
      <c r="AC65" s="454"/>
    </row>
    <row r="66" spans="1:46" s="7" customFormat="1" ht="33.75" customHeight="1">
      <c r="A66" s="455">
        <v>29</v>
      </c>
      <c r="B66" s="481"/>
      <c r="C66" s="13"/>
      <c r="D66" s="273" t="s">
        <v>177</v>
      </c>
      <c r="E66" s="216"/>
      <c r="F66" s="217"/>
      <c r="G66" s="217"/>
      <c r="H66" s="218"/>
      <c r="I66" s="218"/>
      <c r="J66" s="218"/>
      <c r="K66" s="218"/>
      <c r="L66" s="218"/>
      <c r="M66" s="218"/>
      <c r="N66" s="218"/>
      <c r="O66" s="218"/>
      <c r="P66" s="218"/>
      <c r="Q66" s="218"/>
      <c r="R66" s="218"/>
      <c r="S66" s="218"/>
      <c r="T66" s="218"/>
      <c r="U66" s="218"/>
      <c r="V66" s="218"/>
      <c r="W66" s="218"/>
      <c r="X66" s="218"/>
      <c r="Y66" s="218"/>
      <c r="Z66" s="218"/>
      <c r="AA66" s="218"/>
      <c r="AB66" s="196"/>
      <c r="AC66" s="453">
        <f t="shared" ref="AC66" si="24">SUM($E67:$G67)-SUM($I67:$AA67)+$AC64</f>
        <v>0</v>
      </c>
    </row>
    <row r="67" spans="1:46" s="7" customFormat="1" ht="33.75" customHeight="1" thickBot="1">
      <c r="A67" s="459"/>
      <c r="B67" s="482"/>
      <c r="C67" s="15"/>
      <c r="D67" s="274" t="s">
        <v>105</v>
      </c>
      <c r="E67" s="277"/>
      <c r="F67" s="278"/>
      <c r="G67" s="278"/>
      <c r="H67" s="276"/>
      <c r="I67" s="276"/>
      <c r="J67" s="276"/>
      <c r="K67" s="276"/>
      <c r="L67" s="276"/>
      <c r="M67" s="276"/>
      <c r="N67" s="276"/>
      <c r="O67" s="276"/>
      <c r="P67" s="276"/>
      <c r="Q67" s="276"/>
      <c r="R67" s="276"/>
      <c r="S67" s="276"/>
      <c r="T67" s="276"/>
      <c r="U67" s="276"/>
      <c r="V67" s="276"/>
      <c r="W67" s="276"/>
      <c r="X67" s="276"/>
      <c r="Y67" s="276"/>
      <c r="Z67" s="276"/>
      <c r="AA67" s="276"/>
      <c r="AB67" s="197"/>
      <c r="AC67" s="454"/>
    </row>
    <row r="68" spans="1:46" s="7" customFormat="1" ht="33.75" customHeight="1">
      <c r="A68" s="455">
        <v>30</v>
      </c>
      <c r="B68" s="481"/>
      <c r="C68" s="13"/>
      <c r="D68" s="273" t="s">
        <v>177</v>
      </c>
      <c r="E68" s="216"/>
      <c r="F68" s="217"/>
      <c r="G68" s="217"/>
      <c r="H68" s="218"/>
      <c r="I68" s="218"/>
      <c r="J68" s="218"/>
      <c r="K68" s="218"/>
      <c r="L68" s="218"/>
      <c r="M68" s="218"/>
      <c r="N68" s="218"/>
      <c r="O68" s="218"/>
      <c r="P68" s="218"/>
      <c r="Q68" s="218"/>
      <c r="R68" s="218"/>
      <c r="S68" s="218"/>
      <c r="T68" s="218"/>
      <c r="U68" s="218"/>
      <c r="V68" s="218"/>
      <c r="W68" s="218"/>
      <c r="X68" s="218"/>
      <c r="Y68" s="218"/>
      <c r="Z68" s="218"/>
      <c r="AA68" s="218"/>
      <c r="AB68" s="196"/>
      <c r="AC68" s="453">
        <f t="shared" ref="AC68" si="25">SUM($E69:$G69)-SUM($I69:$AA69)+$AC66</f>
        <v>0</v>
      </c>
    </row>
    <row r="69" spans="1:46" s="7" customFormat="1" ht="33.75" customHeight="1" thickBot="1">
      <c r="A69" s="459"/>
      <c r="B69" s="482"/>
      <c r="C69" s="15"/>
      <c r="D69" s="274" t="s">
        <v>105</v>
      </c>
      <c r="E69" s="277"/>
      <c r="F69" s="278"/>
      <c r="G69" s="278"/>
      <c r="H69" s="276"/>
      <c r="I69" s="276"/>
      <c r="J69" s="276"/>
      <c r="K69" s="276"/>
      <c r="L69" s="276"/>
      <c r="M69" s="276"/>
      <c r="N69" s="276"/>
      <c r="O69" s="276"/>
      <c r="P69" s="276"/>
      <c r="Q69" s="276"/>
      <c r="R69" s="276"/>
      <c r="S69" s="276"/>
      <c r="T69" s="276"/>
      <c r="U69" s="276"/>
      <c r="V69" s="276"/>
      <c r="W69" s="276"/>
      <c r="X69" s="276"/>
      <c r="Y69" s="276"/>
      <c r="Z69" s="276"/>
      <c r="AA69" s="276"/>
      <c r="AB69" s="197"/>
      <c r="AC69" s="454"/>
    </row>
    <row r="70" spans="1:46" s="7" customFormat="1" ht="33.75" customHeight="1">
      <c r="A70" s="455">
        <v>31</v>
      </c>
      <c r="B70" s="481"/>
      <c r="C70" s="13"/>
      <c r="D70" s="273" t="s">
        <v>177</v>
      </c>
      <c r="E70" s="216"/>
      <c r="F70" s="217"/>
      <c r="G70" s="217"/>
      <c r="H70" s="218"/>
      <c r="I70" s="218"/>
      <c r="J70" s="218"/>
      <c r="K70" s="218"/>
      <c r="L70" s="218"/>
      <c r="M70" s="218"/>
      <c r="N70" s="218"/>
      <c r="O70" s="218"/>
      <c r="P70" s="218"/>
      <c r="Q70" s="218"/>
      <c r="R70" s="218"/>
      <c r="S70" s="218"/>
      <c r="T70" s="218"/>
      <c r="U70" s="218"/>
      <c r="V70" s="218"/>
      <c r="W70" s="218"/>
      <c r="X70" s="218"/>
      <c r="Y70" s="218"/>
      <c r="Z70" s="218"/>
      <c r="AA70" s="218"/>
      <c r="AB70" s="196"/>
      <c r="AC70" s="453">
        <f t="shared" ref="AC70" si="26">SUM($E71:$G71)-SUM($I71:$AA71)+$AC68</f>
        <v>0</v>
      </c>
    </row>
    <row r="71" spans="1:46" s="7" customFormat="1" ht="33.75" customHeight="1" thickBot="1">
      <c r="A71" s="459"/>
      <c r="B71" s="482"/>
      <c r="C71" s="15"/>
      <c r="D71" s="274" t="s">
        <v>105</v>
      </c>
      <c r="E71" s="277"/>
      <c r="F71" s="278"/>
      <c r="G71" s="278"/>
      <c r="H71" s="276"/>
      <c r="I71" s="276"/>
      <c r="J71" s="276"/>
      <c r="K71" s="276"/>
      <c r="L71" s="276"/>
      <c r="M71" s="276"/>
      <c r="N71" s="276"/>
      <c r="O71" s="276"/>
      <c r="P71" s="276"/>
      <c r="Q71" s="276"/>
      <c r="R71" s="276"/>
      <c r="S71" s="276"/>
      <c r="T71" s="276"/>
      <c r="U71" s="276"/>
      <c r="V71" s="276"/>
      <c r="W71" s="276"/>
      <c r="X71" s="276"/>
      <c r="Y71" s="276"/>
      <c r="Z71" s="276"/>
      <c r="AA71" s="276"/>
      <c r="AB71" s="197"/>
      <c r="AC71" s="454"/>
    </row>
    <row r="72" spans="1:46" ht="46.5" customHeight="1">
      <c r="A72" s="469" t="s">
        <v>331</v>
      </c>
      <c r="B72" s="470"/>
      <c r="C72" s="470"/>
      <c r="D72" s="471"/>
      <c r="E72" s="192">
        <f>SUM(E$10:E$71)</f>
        <v>0</v>
      </c>
      <c r="F72" s="192">
        <f t="shared" ref="F72" si="27">SUM(F$10:F$71)</f>
        <v>0</v>
      </c>
      <c r="G72" s="192">
        <f>SUM(G$10:G$71)</f>
        <v>0</v>
      </c>
      <c r="H72" s="192">
        <f>SUMIF($D$10:$D$41,$D72,H$10:H$41)</f>
        <v>0</v>
      </c>
      <c r="I72" s="192">
        <f>SUM(I$10:I$71)</f>
        <v>0</v>
      </c>
      <c r="J72" s="192">
        <f t="shared" ref="J72:AA72" si="28">SUM(J$10:J$71)</f>
        <v>0</v>
      </c>
      <c r="K72" s="192">
        <f t="shared" si="28"/>
        <v>0</v>
      </c>
      <c r="L72" s="192">
        <f t="shared" si="28"/>
        <v>0</v>
      </c>
      <c r="M72" s="192">
        <f t="shared" si="28"/>
        <v>0</v>
      </c>
      <c r="N72" s="192">
        <f t="shared" si="28"/>
        <v>0</v>
      </c>
      <c r="O72" s="192">
        <f t="shared" si="28"/>
        <v>0</v>
      </c>
      <c r="P72" s="192">
        <f t="shared" si="28"/>
        <v>0</v>
      </c>
      <c r="Q72" s="192">
        <f t="shared" si="28"/>
        <v>0</v>
      </c>
      <c r="R72" s="192">
        <f t="shared" si="28"/>
        <v>0</v>
      </c>
      <c r="S72" s="192">
        <f t="shared" si="28"/>
        <v>0</v>
      </c>
      <c r="T72" s="192">
        <f t="shared" si="28"/>
        <v>0</v>
      </c>
      <c r="U72" s="192">
        <f t="shared" si="28"/>
        <v>0</v>
      </c>
      <c r="V72" s="192">
        <f t="shared" si="28"/>
        <v>0</v>
      </c>
      <c r="W72" s="192">
        <f t="shared" si="28"/>
        <v>0</v>
      </c>
      <c r="X72" s="192">
        <f t="shared" si="28"/>
        <v>0</v>
      </c>
      <c r="Y72" s="192">
        <f t="shared" si="28"/>
        <v>0</v>
      </c>
      <c r="Z72" s="192">
        <f t="shared" si="28"/>
        <v>0</v>
      </c>
      <c r="AA72" s="192">
        <f t="shared" si="28"/>
        <v>0</v>
      </c>
      <c r="AB72" s="197">
        <f>SUMIF($D$10:$D$41,$D72,AB$10:AB$41)</f>
        <v>0</v>
      </c>
      <c r="AC72" s="193"/>
    </row>
    <row r="73" spans="1:46" ht="33.75" customHeight="1">
      <c r="B73" s="43" t="s">
        <v>330</v>
      </c>
      <c r="AE73" t="s">
        <v>39</v>
      </c>
      <c r="AF73" t="s">
        <v>40</v>
      </c>
      <c r="AH73" t="s">
        <v>42</v>
      </c>
      <c r="AI73" t="s">
        <v>43</v>
      </c>
      <c r="AJ73" t="s">
        <v>44</v>
      </c>
      <c r="AM73" t="s">
        <v>45</v>
      </c>
      <c r="AP73" t="s">
        <v>46</v>
      </c>
    </row>
    <row r="74" spans="1:46" ht="33.75" customHeight="1">
      <c r="AC74" t="s">
        <v>50</v>
      </c>
    </row>
    <row r="76" spans="1:46" ht="33.75" customHeight="1">
      <c r="AT76" t="s">
        <v>20</v>
      </c>
    </row>
  </sheetData>
  <sheetProtection sheet="1" objects="1" scenarios="1" selectLockedCells="1"/>
  <mergeCells count="136">
    <mergeCell ref="E5:G5"/>
    <mergeCell ref="I5:AA5"/>
    <mergeCell ref="E6:E7"/>
    <mergeCell ref="F6:F9"/>
    <mergeCell ref="G6:G7"/>
    <mergeCell ref="H6:H9"/>
    <mergeCell ref="A2:A9"/>
    <mergeCell ref="B2:B4"/>
    <mergeCell ref="C2:C4"/>
    <mergeCell ref="D2:G4"/>
    <mergeCell ref="H2:H4"/>
    <mergeCell ref="I2:AA4"/>
    <mergeCell ref="B6:B9"/>
    <mergeCell ref="C6:C9"/>
    <mergeCell ref="D6:D9"/>
    <mergeCell ref="J6:J9"/>
    <mergeCell ref="V6:V9"/>
    <mergeCell ref="K6:K9"/>
    <mergeCell ref="L6:L9"/>
    <mergeCell ref="M6:M9"/>
    <mergeCell ref="N6:N9"/>
    <mergeCell ref="O6:O9"/>
    <mergeCell ref="P6:P9"/>
    <mergeCell ref="R6:R9"/>
    <mergeCell ref="AB2:AB3"/>
    <mergeCell ref="AC2:AC3"/>
    <mergeCell ref="AB4:AB6"/>
    <mergeCell ref="AC4:AC6"/>
    <mergeCell ref="A12:A13"/>
    <mergeCell ref="B12:B13"/>
    <mergeCell ref="AC12:AC13"/>
    <mergeCell ref="A14:A15"/>
    <mergeCell ref="B14:B15"/>
    <mergeCell ref="AC14:AC15"/>
    <mergeCell ref="AB7:AB9"/>
    <mergeCell ref="AC7:AC9"/>
    <mergeCell ref="E8:E9"/>
    <mergeCell ref="G8:G9"/>
    <mergeCell ref="A10:A11"/>
    <mergeCell ref="B10:B11"/>
    <mergeCell ref="AC10:AC11"/>
    <mergeCell ref="W6:W9"/>
    <mergeCell ref="X6:X9"/>
    <mergeCell ref="Y6:Y9"/>
    <mergeCell ref="Z6:Z9"/>
    <mergeCell ref="I7:I8"/>
    <mergeCell ref="AA7:AA8"/>
    <mergeCell ref="Q6:Q9"/>
    <mergeCell ref="S6:S9"/>
    <mergeCell ref="T6:T9"/>
    <mergeCell ref="U6:U9"/>
    <mergeCell ref="A20:A21"/>
    <mergeCell ref="B20:B21"/>
    <mergeCell ref="AC20:AC21"/>
    <mergeCell ref="A22:A23"/>
    <mergeCell ref="B22:B23"/>
    <mergeCell ref="AC22:AC23"/>
    <mergeCell ref="A16:A17"/>
    <mergeCell ref="B16:B17"/>
    <mergeCell ref="AC16:AC17"/>
    <mergeCell ref="A18:A19"/>
    <mergeCell ref="B18:B19"/>
    <mergeCell ref="AC18:AC19"/>
    <mergeCell ref="A28:A29"/>
    <mergeCell ref="B28:B29"/>
    <mergeCell ref="AC28:AC29"/>
    <mergeCell ref="A30:A31"/>
    <mergeCell ref="B30:B31"/>
    <mergeCell ref="AC30:AC31"/>
    <mergeCell ref="A24:A25"/>
    <mergeCell ref="B24:B25"/>
    <mergeCell ref="AC24:AC25"/>
    <mergeCell ref="A26:A27"/>
    <mergeCell ref="B26:B27"/>
    <mergeCell ref="AC26:AC27"/>
    <mergeCell ref="A36:A37"/>
    <mergeCell ref="B36:B37"/>
    <mergeCell ref="AC36:AC37"/>
    <mergeCell ref="A38:A39"/>
    <mergeCell ref="B38:B39"/>
    <mergeCell ref="AC38:AC39"/>
    <mergeCell ref="A32:A33"/>
    <mergeCell ref="B32:B33"/>
    <mergeCell ref="AC32:AC33"/>
    <mergeCell ref="A34:A35"/>
    <mergeCell ref="B34:B35"/>
    <mergeCell ref="AC34:AC35"/>
    <mergeCell ref="A44:A45"/>
    <mergeCell ref="B44:B45"/>
    <mergeCell ref="AC44:AC45"/>
    <mergeCell ref="A46:A47"/>
    <mergeCell ref="B46:B47"/>
    <mergeCell ref="AC46:AC47"/>
    <mergeCell ref="A40:A41"/>
    <mergeCell ref="B40:B41"/>
    <mergeCell ref="AC40:AC41"/>
    <mergeCell ref="A42:A43"/>
    <mergeCell ref="B42:B43"/>
    <mergeCell ref="AC42:AC43"/>
    <mergeCell ref="A52:A53"/>
    <mergeCell ref="B52:B53"/>
    <mergeCell ref="AC52:AC53"/>
    <mergeCell ref="A54:A55"/>
    <mergeCell ref="B54:B55"/>
    <mergeCell ref="AC54:AC55"/>
    <mergeCell ref="A48:A49"/>
    <mergeCell ref="B48:B49"/>
    <mergeCell ref="AC48:AC49"/>
    <mergeCell ref="A50:A51"/>
    <mergeCell ref="B50:B51"/>
    <mergeCell ref="AC50:AC51"/>
    <mergeCell ref="A60:A61"/>
    <mergeCell ref="B60:B61"/>
    <mergeCell ref="AC60:AC61"/>
    <mergeCell ref="A62:A63"/>
    <mergeCell ref="B62:B63"/>
    <mergeCell ref="AC62:AC63"/>
    <mergeCell ref="A56:A57"/>
    <mergeCell ref="B56:B57"/>
    <mergeCell ref="AC56:AC57"/>
    <mergeCell ref="A58:A59"/>
    <mergeCell ref="B58:B59"/>
    <mergeCell ref="AC58:AC59"/>
    <mergeCell ref="A68:A69"/>
    <mergeCell ref="B68:B69"/>
    <mergeCell ref="AC68:AC69"/>
    <mergeCell ref="A70:A71"/>
    <mergeCell ref="B70:B71"/>
    <mergeCell ref="A72:D72"/>
    <mergeCell ref="A64:A65"/>
    <mergeCell ref="B64:B65"/>
    <mergeCell ref="AC64:AC65"/>
    <mergeCell ref="A66:A67"/>
    <mergeCell ref="B66:B67"/>
    <mergeCell ref="AC66:AC67"/>
    <mergeCell ref="AC70:AC71"/>
  </mergeCells>
  <phoneticPr fontId="1"/>
  <pageMargins left="0.47244094488188981" right="0.31496062992125984" top="0.59055118110236227" bottom="0.19685039370078741" header="0.31496062992125984" footer="0.31496062992125984"/>
  <pageSetup paperSize="9" scale="45" orientation="landscape"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298</vt:i4>
      </vt:variant>
    </vt:vector>
  </HeadingPairs>
  <TitlesOfParts>
    <vt:vector size="319" baseType="lpstr">
      <vt:lpstr>バージョン情報</vt:lpstr>
      <vt:lpstr>ご利用にあたって</vt:lpstr>
      <vt:lpstr>必要経費一覧</vt:lpstr>
      <vt:lpstr>記帳例 (手書き)</vt:lpstr>
      <vt:lpstr>記帳例（エクセル）</vt:lpstr>
      <vt:lpstr>表紙</vt:lpstr>
      <vt:lpstr>1月</vt:lpstr>
      <vt:lpstr>2月</vt:lpstr>
      <vt:lpstr>3月</vt:lpstr>
      <vt:lpstr>4月</vt:lpstr>
      <vt:lpstr>5月</vt:lpstr>
      <vt:lpstr>6月</vt:lpstr>
      <vt:lpstr>7月</vt:lpstr>
      <vt:lpstr>8月</vt:lpstr>
      <vt:lpstr>9月</vt:lpstr>
      <vt:lpstr>10月</vt:lpstr>
      <vt:lpstr>11月</vt:lpstr>
      <vt:lpstr>12月</vt:lpstr>
      <vt:lpstr>年間集計表</vt:lpstr>
      <vt:lpstr>売掛金・未払金・買掛金・償却資産</vt:lpstr>
      <vt:lpstr>たな卸表と家事消費とメモ</vt:lpstr>
      <vt:lpstr>'10月'!Print_Area</vt:lpstr>
      <vt:lpstr>'11月'!Print_Area</vt:lpstr>
      <vt:lpstr>'12月'!Print_Area</vt:lpstr>
      <vt:lpstr>'1月'!Print_Area</vt:lpstr>
      <vt:lpstr>'2月'!Print_Area</vt:lpstr>
      <vt:lpstr>'3月'!Print_Area</vt:lpstr>
      <vt:lpstr>'4月'!Print_Area</vt:lpstr>
      <vt:lpstr>'5月'!Print_Area</vt:lpstr>
      <vt:lpstr>'6月'!Print_Area</vt:lpstr>
      <vt:lpstr>'7月'!Print_Area</vt:lpstr>
      <vt:lpstr>'8月'!Print_Area</vt:lpstr>
      <vt:lpstr>'9月'!Print_Area</vt:lpstr>
      <vt:lpstr>必要経費一覧!Print_Area</vt:lpstr>
      <vt:lpstr>表紙!Print_Area</vt:lpstr>
      <vt:lpstr>'10月'!Print_Titles</vt:lpstr>
      <vt:lpstr>'11月'!Print_Titles</vt:lpstr>
      <vt:lpstr>'12月'!Print_Titles</vt:lpstr>
      <vt:lpstr>'1月'!Print_Titles</vt:lpstr>
      <vt:lpstr>'2月'!Print_Titles</vt:lpstr>
      <vt:lpstr>'3月'!Print_Titles</vt:lpstr>
      <vt:lpstr>'4月'!Print_Titles</vt:lpstr>
      <vt:lpstr>'5月'!Print_Titles</vt:lpstr>
      <vt:lpstr>'6月'!Print_Titles</vt:lpstr>
      <vt:lpstr>'7月'!Print_Titles</vt:lpstr>
      <vt:lpstr>'8月'!Print_Titles</vt:lpstr>
      <vt:lpstr>'9月'!Print_Titles</vt:lpstr>
      <vt:lpstr>外注工賃</vt:lpstr>
      <vt:lpstr>外注工賃・10月</vt:lpstr>
      <vt:lpstr>外注工賃・11月</vt:lpstr>
      <vt:lpstr>外注工賃・12月</vt:lpstr>
      <vt:lpstr>外注工賃・1月</vt:lpstr>
      <vt:lpstr>外注工賃・2月</vt:lpstr>
      <vt:lpstr>外注工賃・3月</vt:lpstr>
      <vt:lpstr>外注工賃・4月</vt:lpstr>
      <vt:lpstr>外注工賃・5月</vt:lpstr>
      <vt:lpstr>外注工賃・6月</vt:lpstr>
      <vt:lpstr>外注工賃・7月</vt:lpstr>
      <vt:lpstr>外注工賃・8月</vt:lpstr>
      <vt:lpstr>外注工賃・9月</vt:lpstr>
      <vt:lpstr>給料賃金</vt:lpstr>
      <vt:lpstr>給料賃金・10月</vt:lpstr>
      <vt:lpstr>給料賃金・11月</vt:lpstr>
      <vt:lpstr>給料賃金・12月</vt:lpstr>
      <vt:lpstr>給料賃金・1月</vt:lpstr>
      <vt:lpstr>給料賃金・2月</vt:lpstr>
      <vt:lpstr>給料賃金・3月</vt:lpstr>
      <vt:lpstr>給料賃金・4月</vt:lpstr>
      <vt:lpstr>給料賃金・5月</vt:lpstr>
      <vt:lpstr>給料賃金・6月</vt:lpstr>
      <vt:lpstr>給料賃金・7月</vt:lpstr>
      <vt:lpstr>給料賃金・8月</vt:lpstr>
      <vt:lpstr>給料賃金・9月</vt:lpstr>
      <vt:lpstr>空欄1</vt:lpstr>
      <vt:lpstr>空欄1・10月</vt:lpstr>
      <vt:lpstr>空欄1・11月</vt:lpstr>
      <vt:lpstr>空欄1・12月</vt:lpstr>
      <vt:lpstr>空欄1・1月</vt:lpstr>
      <vt:lpstr>空欄1・2月</vt:lpstr>
      <vt:lpstr>空欄1・3月</vt:lpstr>
      <vt:lpstr>空欄1・4月</vt:lpstr>
      <vt:lpstr>空欄1・5月</vt:lpstr>
      <vt:lpstr>空欄1・6月</vt:lpstr>
      <vt:lpstr>空欄1・7月</vt:lpstr>
      <vt:lpstr>空欄1・8月</vt:lpstr>
      <vt:lpstr>空欄1・9月</vt:lpstr>
      <vt:lpstr>空欄2</vt:lpstr>
      <vt:lpstr>空欄2・10月</vt:lpstr>
      <vt:lpstr>空欄2・11月</vt:lpstr>
      <vt:lpstr>空欄2・12月</vt:lpstr>
      <vt:lpstr>空欄2・1月</vt:lpstr>
      <vt:lpstr>空欄2・2月</vt:lpstr>
      <vt:lpstr>空欄2・3月</vt:lpstr>
      <vt:lpstr>空欄2・4月</vt:lpstr>
      <vt:lpstr>空欄2・5月</vt:lpstr>
      <vt:lpstr>空欄2・6月</vt:lpstr>
      <vt:lpstr>空欄2・7月</vt:lpstr>
      <vt:lpstr>空欄2・8月</vt:lpstr>
      <vt:lpstr>空欄2・9月</vt:lpstr>
      <vt:lpstr>繰越・10月</vt:lpstr>
      <vt:lpstr>繰越・11月</vt:lpstr>
      <vt:lpstr>繰越・12月</vt:lpstr>
      <vt:lpstr>繰越・1月</vt:lpstr>
      <vt:lpstr>繰越・2月</vt:lpstr>
      <vt:lpstr>繰越・3月</vt:lpstr>
      <vt:lpstr>繰越・4月</vt:lpstr>
      <vt:lpstr>繰越・5月</vt:lpstr>
      <vt:lpstr>繰越・6月</vt:lpstr>
      <vt:lpstr>繰越・7月</vt:lpstr>
      <vt:lpstr>繰越・8月</vt:lpstr>
      <vt:lpstr>繰越・9月</vt:lpstr>
      <vt:lpstr>現金残高・1月</vt:lpstr>
      <vt:lpstr>広告宣伝費</vt:lpstr>
      <vt:lpstr>広告宣伝費・10月</vt:lpstr>
      <vt:lpstr>広告宣伝費・11月</vt:lpstr>
      <vt:lpstr>広告宣伝費・12月</vt:lpstr>
      <vt:lpstr>広告宣伝費・1月</vt:lpstr>
      <vt:lpstr>広告宣伝費・2月</vt:lpstr>
      <vt:lpstr>広告宣伝費・3月</vt:lpstr>
      <vt:lpstr>広告宣伝費・4月</vt:lpstr>
      <vt:lpstr>広告宣伝費・5月</vt:lpstr>
      <vt:lpstr>広告宣伝費・6月</vt:lpstr>
      <vt:lpstr>広告宣伝費・7月</vt:lpstr>
      <vt:lpstr>広告宣伝費・8月</vt:lpstr>
      <vt:lpstr>広告宣伝費・9月</vt:lpstr>
      <vt:lpstr>雑収入</vt:lpstr>
      <vt:lpstr>雑収入・10月</vt:lpstr>
      <vt:lpstr>雑収入・11月</vt:lpstr>
      <vt:lpstr>雑収入・12月</vt:lpstr>
      <vt:lpstr>雑収入・1月</vt:lpstr>
      <vt:lpstr>雑収入・2月</vt:lpstr>
      <vt:lpstr>雑収入・3月</vt:lpstr>
      <vt:lpstr>雑収入・4月</vt:lpstr>
      <vt:lpstr>雑収入・5月</vt:lpstr>
      <vt:lpstr>雑収入・6月</vt:lpstr>
      <vt:lpstr>雑収入・7月</vt:lpstr>
      <vt:lpstr>雑収入・8月</vt:lpstr>
      <vt:lpstr>雑収入・9月</vt:lpstr>
      <vt:lpstr>雑費</vt:lpstr>
      <vt:lpstr>雑費・10月</vt:lpstr>
      <vt:lpstr>雑費・11月</vt:lpstr>
      <vt:lpstr>雑費・12月</vt:lpstr>
      <vt:lpstr>雑費・1月</vt:lpstr>
      <vt:lpstr>雑費・2月</vt:lpstr>
      <vt:lpstr>雑費・3月</vt:lpstr>
      <vt:lpstr>雑費・4月</vt:lpstr>
      <vt:lpstr>雑費・5月</vt:lpstr>
      <vt:lpstr>雑費・6月</vt:lpstr>
      <vt:lpstr>雑費・7月</vt:lpstr>
      <vt:lpstr>雑費・8月</vt:lpstr>
      <vt:lpstr>雑費・9月</vt:lpstr>
      <vt:lpstr>仕入・10月</vt:lpstr>
      <vt:lpstr>仕入・11月</vt:lpstr>
      <vt:lpstr>仕入・12月</vt:lpstr>
      <vt:lpstr>仕入・1月</vt:lpstr>
      <vt:lpstr>仕入・2月</vt:lpstr>
      <vt:lpstr>仕入・3月</vt:lpstr>
      <vt:lpstr>仕入・4月</vt:lpstr>
      <vt:lpstr>仕入・5月</vt:lpstr>
      <vt:lpstr>仕入・6月</vt:lpstr>
      <vt:lpstr>仕入・7月</vt:lpstr>
      <vt:lpstr>仕入・8月</vt:lpstr>
      <vt:lpstr>仕入・9月</vt:lpstr>
      <vt:lpstr>車両費</vt:lpstr>
      <vt:lpstr>車両費・10月</vt:lpstr>
      <vt:lpstr>車両費・11月</vt:lpstr>
      <vt:lpstr>車両費・12月</vt:lpstr>
      <vt:lpstr>車両費・1月</vt:lpstr>
      <vt:lpstr>車両費・2月</vt:lpstr>
      <vt:lpstr>車両費・3月</vt:lpstr>
      <vt:lpstr>車両費・4月</vt:lpstr>
      <vt:lpstr>車両費・5月</vt:lpstr>
      <vt:lpstr>車両費・6月</vt:lpstr>
      <vt:lpstr>車両費・7月</vt:lpstr>
      <vt:lpstr>車両費・8月</vt:lpstr>
      <vt:lpstr>車両費・9月</vt:lpstr>
      <vt:lpstr>修繕費</vt:lpstr>
      <vt:lpstr>修繕費・10月</vt:lpstr>
      <vt:lpstr>修繕費・11月</vt:lpstr>
      <vt:lpstr>修繕費・12月</vt:lpstr>
      <vt:lpstr>修繕費・1月</vt:lpstr>
      <vt:lpstr>修繕費・2月</vt:lpstr>
      <vt:lpstr>修繕費・3月</vt:lpstr>
      <vt:lpstr>修繕費・4月</vt:lpstr>
      <vt:lpstr>修繕費・5月</vt:lpstr>
      <vt:lpstr>修繕費・6月</vt:lpstr>
      <vt:lpstr>修繕費・7月</vt:lpstr>
      <vt:lpstr>修繕費・8月</vt:lpstr>
      <vt:lpstr>修繕費・9月</vt:lpstr>
      <vt:lpstr>消耗品費</vt:lpstr>
      <vt:lpstr>消耗品費・10月</vt:lpstr>
      <vt:lpstr>消耗品費・11月</vt:lpstr>
      <vt:lpstr>消耗品費・12月</vt:lpstr>
      <vt:lpstr>消耗品費・1月</vt:lpstr>
      <vt:lpstr>消耗品費・2月</vt:lpstr>
      <vt:lpstr>消耗品費・3月</vt:lpstr>
      <vt:lpstr>消耗品費・4月</vt:lpstr>
      <vt:lpstr>消耗品費・5月</vt:lpstr>
      <vt:lpstr>消耗品費・6月</vt:lpstr>
      <vt:lpstr>消耗品費・7月</vt:lpstr>
      <vt:lpstr>消耗品費・8月</vt:lpstr>
      <vt:lpstr>消耗品費・9月</vt:lpstr>
      <vt:lpstr>水道光熱費</vt:lpstr>
      <vt:lpstr>水道光熱費・10月</vt:lpstr>
      <vt:lpstr>水道光熱費・11月</vt:lpstr>
      <vt:lpstr>水道光熱費・12月</vt:lpstr>
      <vt:lpstr>水道光熱費・1月</vt:lpstr>
      <vt:lpstr>水道光熱費・2月</vt:lpstr>
      <vt:lpstr>水道光熱費・3月</vt:lpstr>
      <vt:lpstr>水道光熱費・4月</vt:lpstr>
      <vt:lpstr>水道光熱費・5月</vt:lpstr>
      <vt:lpstr>水道光熱費・6月</vt:lpstr>
      <vt:lpstr>水道光熱費・7月</vt:lpstr>
      <vt:lpstr>水道光熱費・8月</vt:lpstr>
      <vt:lpstr>水道光熱費・9月</vt:lpstr>
      <vt:lpstr>接待交際費</vt:lpstr>
      <vt:lpstr>接待交際費・10月</vt:lpstr>
      <vt:lpstr>接待交際費・11月</vt:lpstr>
      <vt:lpstr>接待交際費・12月</vt:lpstr>
      <vt:lpstr>接待交際費・1月</vt:lpstr>
      <vt:lpstr>接待交際費・2月</vt:lpstr>
      <vt:lpstr>接待交際費・3月</vt:lpstr>
      <vt:lpstr>接待交際費・4月</vt:lpstr>
      <vt:lpstr>接待交際費・5月</vt:lpstr>
      <vt:lpstr>接待交際費・6月</vt:lpstr>
      <vt:lpstr>接待交際費・7月</vt:lpstr>
      <vt:lpstr>接待交際費・8月</vt:lpstr>
      <vt:lpstr>接待交際費・9月</vt:lpstr>
      <vt:lpstr>租税公課</vt:lpstr>
      <vt:lpstr>租税公課・10月</vt:lpstr>
      <vt:lpstr>租税公課・11月</vt:lpstr>
      <vt:lpstr>租税公課・12月</vt:lpstr>
      <vt:lpstr>租税公課・1月</vt:lpstr>
      <vt:lpstr>租税公課・2月</vt:lpstr>
      <vt:lpstr>租税公課・3月</vt:lpstr>
      <vt:lpstr>租税公課・4月</vt:lpstr>
      <vt:lpstr>租税公課・5月</vt:lpstr>
      <vt:lpstr>租税公課・6月</vt:lpstr>
      <vt:lpstr>租税公課・7月</vt:lpstr>
      <vt:lpstr>租税公課・8月</vt:lpstr>
      <vt:lpstr>租税公課・9月</vt:lpstr>
      <vt:lpstr>損害保険料</vt:lpstr>
      <vt:lpstr>損害保険料・10月</vt:lpstr>
      <vt:lpstr>損害保険料・11月</vt:lpstr>
      <vt:lpstr>損害保険料・12月</vt:lpstr>
      <vt:lpstr>損害保険料・1月</vt:lpstr>
      <vt:lpstr>損害保険料・2月</vt:lpstr>
      <vt:lpstr>損害保険料・3月</vt:lpstr>
      <vt:lpstr>損害保険料・4月</vt:lpstr>
      <vt:lpstr>損害保険料・5月</vt:lpstr>
      <vt:lpstr>損害保険料・6月</vt:lpstr>
      <vt:lpstr>損害保険料・7月</vt:lpstr>
      <vt:lpstr>損害保険料・8月</vt:lpstr>
      <vt:lpstr>損害保険料・9月</vt:lpstr>
      <vt:lpstr>通信費</vt:lpstr>
      <vt:lpstr>通信費・10月</vt:lpstr>
      <vt:lpstr>通信費・11月</vt:lpstr>
      <vt:lpstr>通信費・12月</vt:lpstr>
      <vt:lpstr>通信費・1月</vt:lpstr>
      <vt:lpstr>通信費・2月</vt:lpstr>
      <vt:lpstr>通信費・3月</vt:lpstr>
      <vt:lpstr>通信費・4月</vt:lpstr>
      <vt:lpstr>通信費・5月</vt:lpstr>
      <vt:lpstr>通信費・6月</vt:lpstr>
      <vt:lpstr>通信費・7月</vt:lpstr>
      <vt:lpstr>通信費・8月</vt:lpstr>
      <vt:lpstr>通信費・9月</vt:lpstr>
      <vt:lpstr>売上</vt:lpstr>
      <vt:lpstr>売上・10月</vt:lpstr>
      <vt:lpstr>売上・11月</vt:lpstr>
      <vt:lpstr>売上・12月</vt:lpstr>
      <vt:lpstr>売上・1月</vt:lpstr>
      <vt:lpstr>売上・2月</vt:lpstr>
      <vt:lpstr>売上・3月</vt:lpstr>
      <vt:lpstr>売上・4月</vt:lpstr>
      <vt:lpstr>売上・5月</vt:lpstr>
      <vt:lpstr>売上・6月</vt:lpstr>
      <vt:lpstr>売上・7月</vt:lpstr>
      <vt:lpstr>売上・8月</vt:lpstr>
      <vt:lpstr>売上・9月</vt:lpstr>
      <vt:lpstr>福利厚生費</vt:lpstr>
      <vt:lpstr>福利厚生費・10月</vt:lpstr>
      <vt:lpstr>福利厚生費・11月</vt:lpstr>
      <vt:lpstr>福利厚生費・12月</vt:lpstr>
      <vt:lpstr>福利厚生費・1月</vt:lpstr>
      <vt:lpstr>福利厚生費・2月</vt:lpstr>
      <vt:lpstr>福利厚生費・3月</vt:lpstr>
      <vt:lpstr>福利厚生費・4月</vt:lpstr>
      <vt:lpstr>福利厚生費・5月</vt:lpstr>
      <vt:lpstr>福利厚生費・6月</vt:lpstr>
      <vt:lpstr>福利厚生費・7月</vt:lpstr>
      <vt:lpstr>福利厚生費・8月</vt:lpstr>
      <vt:lpstr>福利厚生費・9月</vt:lpstr>
      <vt:lpstr>利子割引料</vt:lpstr>
      <vt:lpstr>利子割引料・10月</vt:lpstr>
      <vt:lpstr>利子割引料・11月</vt:lpstr>
      <vt:lpstr>利子割引料・12月</vt:lpstr>
      <vt:lpstr>利子割引料・1月</vt:lpstr>
      <vt:lpstr>利子割引料・2月</vt:lpstr>
      <vt:lpstr>利子割引料・3月</vt:lpstr>
      <vt:lpstr>利子割引料・4月</vt:lpstr>
      <vt:lpstr>利子割引料・5月</vt:lpstr>
      <vt:lpstr>利子割引料・6月</vt:lpstr>
      <vt:lpstr>利子割引料・7月</vt:lpstr>
      <vt:lpstr>利子割引料・8月</vt:lpstr>
      <vt:lpstr>利子割引料・9月</vt:lpstr>
      <vt:lpstr>旅費交通費</vt:lpstr>
      <vt:lpstr>旅費交通費・10月</vt:lpstr>
      <vt:lpstr>旅費交通費・11月</vt:lpstr>
      <vt:lpstr>旅費交通費・12月</vt:lpstr>
      <vt:lpstr>旅費交通費・1月</vt:lpstr>
      <vt:lpstr>旅費交通費・2月</vt:lpstr>
      <vt:lpstr>旅費交通費・3月</vt:lpstr>
      <vt:lpstr>旅費交通費・4月</vt:lpstr>
      <vt:lpstr>旅費交通費・5月</vt:lpstr>
      <vt:lpstr>旅費交通費・6月</vt:lpstr>
      <vt:lpstr>旅費交通費・7月</vt:lpstr>
      <vt:lpstr>旅費交通費・8月</vt:lpstr>
      <vt:lpstr>旅費交通費・9月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DELL-PC</dc:creator>
  <cp:lastModifiedBy>桧枝 智寛</cp:lastModifiedBy>
  <cp:lastPrinted>2021-02-18T04:23:18Z</cp:lastPrinted>
  <dcterms:created xsi:type="dcterms:W3CDTF">2021-01-14T04:50:09Z</dcterms:created>
  <dcterms:modified xsi:type="dcterms:W3CDTF">2022-12-28T05:29:10Z</dcterms:modified>
</cp:coreProperties>
</file>